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backupFile="1"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0476FEE-0DCC-4009-926B-D2E33E311B5B}" xr6:coauthVersionLast="36" xr6:coauthVersionMax="36" xr10:uidLastSave="{00000000-0000-0000-0000-000000000000}"/>
  <bookViews>
    <workbookView xWindow="-105" yWindow="-105" windowWidth="25815" windowHeight="16215" tabRatio="742" xr2:uid="{00000000-000D-0000-FFFF-FFFF00000000}"/>
  </bookViews>
  <sheets>
    <sheet name="회계장부" sheetId="2" r:id="rId1"/>
    <sheet name="결의서(기본)" sheetId="1" r:id="rId2"/>
    <sheet name="결의서(추가)" sheetId="38" r:id="rId3"/>
    <sheet name="월별누계" sheetId="29" r:id="rId4"/>
    <sheet name="회계보고서" sheetId="35" r:id="rId5"/>
    <sheet name="검산서(상반기)" sheetId="43" r:id="rId6"/>
    <sheet name="검산서(하반기)" sheetId="42" r:id="rId7"/>
    <sheet name="회계코드" sheetId="7" r:id="rId8"/>
    <sheet name="개선사항" sheetId="39" r:id="rId9"/>
  </sheets>
  <externalReferences>
    <externalReference r:id="rId10"/>
  </externalReferences>
  <definedNames>
    <definedName name="_xlnm._FilterDatabase" localSheetId="0" hidden="1">회계장부!$J$1:$J$3</definedName>
    <definedName name="_xlnm._FilterDatabase" localSheetId="7" hidden="1">회계코드!#REF!</definedName>
    <definedName name="_xlnm.Print_Area" localSheetId="5">'검산서(상반기)'!$A$1:$M$47</definedName>
    <definedName name="_xlnm.Print_Area" localSheetId="6">'검산서(하반기)'!$A$1:$M$47</definedName>
    <definedName name="_xlnm.Print_Area" localSheetId="1">'결의서(기본)'!$A$1:$H$29</definedName>
    <definedName name="_xlnm.Print_Area" localSheetId="2">'결의서(추가)'!$A$1:$H$29</definedName>
    <definedName name="_xlnm.Print_Area" localSheetId="4">회계보고서!$A$1:$H$45</definedName>
    <definedName name="관">회계장부!$I:$I</definedName>
    <definedName name="기준일자">'결의서(기본)'!$B$3</definedName>
    <definedName name="기준일자_시작일">회계보고서!$K$3</definedName>
    <definedName name="기준일자_종료일">회계보고서!$K$4</definedName>
    <definedName name="부서명">회계코드!$B$1</definedName>
    <definedName name="수입">회계장부!$C:$C</definedName>
    <definedName name="일자">[1]회계장부!$A:$A</definedName>
    <definedName name="전년도이월금">회계코드!$A$4</definedName>
    <definedName name="지출">회계장부!$D:$D</definedName>
    <definedName name="지출관정렬">회계코드!$C$60:$D$359</definedName>
    <definedName name="지출항목">OFFSET(회계코드!$A$26,,,1,COUNTA(회계코드!$A$26:$L$26))</definedName>
    <definedName name="지출항목정렬">회계코드!$A$60:$B$359</definedName>
    <definedName name="코드">[1]회계장부!$J:$J</definedName>
    <definedName name="항목">회계장부!$J:$J</definedName>
    <definedName name="헌금_회비">회계코드!$B$4:$B$7</definedName>
    <definedName name="회계년도">회계코드!$D$1</definedName>
    <definedName name="회계월">회계장부!$L:$L</definedName>
  </definedNames>
  <calcPr calcId="191029"/>
</workbook>
</file>

<file path=xl/calcChain.xml><?xml version="1.0" encoding="utf-8"?>
<calcChain xmlns="http://schemas.openxmlformats.org/spreadsheetml/2006/main">
  <c r="A1" i="43" l="1"/>
  <c r="A1" i="42"/>
  <c r="E1" i="7"/>
  <c r="D33" i="43" l="1"/>
  <c r="D28" i="43"/>
  <c r="D23" i="43"/>
  <c r="D18" i="43"/>
  <c r="D13" i="43"/>
  <c r="D13" i="42"/>
  <c r="D18" i="42"/>
  <c r="D23" i="42"/>
  <c r="D28" i="42"/>
  <c r="D33" i="42"/>
  <c r="J36" i="43"/>
  <c r="J34" i="43"/>
  <c r="J32" i="43"/>
  <c r="J30" i="43"/>
  <c r="L36" i="43"/>
  <c r="L34" i="43"/>
  <c r="L32" i="43"/>
  <c r="L30" i="43"/>
  <c r="L37" i="43"/>
  <c r="J28" i="43"/>
  <c r="L28" i="43" s="1"/>
  <c r="J26" i="43"/>
  <c r="J24" i="43"/>
  <c r="J22" i="43"/>
  <c r="J20" i="43"/>
  <c r="J18" i="43"/>
  <c r="J16" i="43"/>
  <c r="J14" i="43"/>
  <c r="J12" i="43"/>
  <c r="J10" i="43"/>
  <c r="J8" i="43"/>
  <c r="D8" i="43"/>
  <c r="B7" i="43"/>
  <c r="H7" i="43" s="1"/>
  <c r="B3" i="43"/>
  <c r="J36" i="42"/>
  <c r="L36" i="42" s="1"/>
  <c r="J34" i="42"/>
  <c r="L34" i="42" s="1"/>
  <c r="J32" i="42"/>
  <c r="L32" i="42" s="1"/>
  <c r="J30" i="42"/>
  <c r="L30" i="42" s="1"/>
  <c r="J28" i="42"/>
  <c r="L28" i="42" s="1"/>
  <c r="J26" i="42"/>
  <c r="J24" i="42"/>
  <c r="J22" i="42"/>
  <c r="J20" i="42"/>
  <c r="J18" i="42"/>
  <c r="J16" i="42"/>
  <c r="J14" i="42"/>
  <c r="J12" i="42"/>
  <c r="J10" i="42"/>
  <c r="J8" i="42"/>
  <c r="D8" i="42"/>
  <c r="B3" i="42"/>
  <c r="D38" i="43" l="1"/>
  <c r="D7" i="42" s="1"/>
  <c r="B38" i="43"/>
  <c r="B7" i="42" s="1"/>
  <c r="D38" i="42"/>
  <c r="L20" i="42" l="1"/>
  <c r="L20" i="43"/>
  <c r="L8" i="42"/>
  <c r="L8" i="43"/>
  <c r="L24" i="43"/>
  <c r="L24" i="42"/>
  <c r="L14" i="43"/>
  <c r="L14" i="42"/>
  <c r="C28" i="43"/>
  <c r="C13" i="42"/>
  <c r="C18" i="42"/>
  <c r="C33" i="43"/>
  <c r="C13" i="43"/>
  <c r="C18" i="43"/>
  <c r="C33" i="42"/>
  <c r="C23" i="43"/>
  <c r="C23" i="42"/>
  <c r="C28" i="42"/>
  <c r="C8" i="43"/>
  <c r="C8" i="42"/>
  <c r="L18" i="43"/>
  <c r="L18" i="42"/>
  <c r="L12" i="43"/>
  <c r="L12" i="42"/>
  <c r="L22" i="42"/>
  <c r="L22" i="43"/>
  <c r="L10" i="42"/>
  <c r="L10" i="43"/>
  <c r="L26" i="43"/>
  <c r="L26" i="42"/>
  <c r="B48" i="7"/>
  <c r="C48" i="7"/>
  <c r="D48" i="7"/>
  <c r="E48" i="7"/>
  <c r="F48" i="7"/>
  <c r="G48" i="7"/>
  <c r="H48" i="7"/>
  <c r="I48" i="7"/>
  <c r="J48" i="7"/>
  <c r="K48" i="7"/>
  <c r="L48" i="7"/>
  <c r="M48" i="7"/>
  <c r="N48" i="7"/>
  <c r="O48" i="7"/>
  <c r="A48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4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20" i="7"/>
  <c r="B312" i="7"/>
  <c r="B313" i="7"/>
  <c r="B314" i="7"/>
  <c r="B315" i="7"/>
  <c r="B316" i="7"/>
  <c r="B317" i="7"/>
  <c r="B318" i="7"/>
  <c r="B319" i="7"/>
  <c r="B301" i="7"/>
  <c r="B302" i="7"/>
  <c r="B303" i="7"/>
  <c r="B304" i="7"/>
  <c r="B305" i="7"/>
  <c r="B306" i="7"/>
  <c r="B307" i="7"/>
  <c r="B308" i="7"/>
  <c r="B309" i="7"/>
  <c r="B310" i="7"/>
  <c r="B311" i="7"/>
  <c r="B300" i="7"/>
  <c r="O49" i="7"/>
  <c r="N49" i="7"/>
  <c r="M49" i="7"/>
  <c r="D3" i="43" l="1"/>
  <c r="C38" i="42"/>
  <c r="C38" i="43"/>
  <c r="C7" i="42" s="1"/>
  <c r="B25" i="7"/>
  <c r="D3" i="42"/>
  <c r="B3" i="38"/>
  <c r="J13" i="38" l="1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59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36" i="7"/>
  <c r="B137" i="7"/>
  <c r="B138" i="7"/>
  <c r="B139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18" i="7"/>
  <c r="B119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88" i="7"/>
  <c r="B89" i="7"/>
  <c r="B90" i="7"/>
  <c r="B91" i="7"/>
  <c r="B92" i="7"/>
  <c r="B93" i="7"/>
  <c r="B94" i="7"/>
  <c r="B95" i="7"/>
  <c r="B96" i="7"/>
  <c r="B97" i="7"/>
  <c r="B98" i="7"/>
  <c r="B99" i="7"/>
  <c r="B82" i="7"/>
  <c r="B83" i="7"/>
  <c r="B84" i="7"/>
  <c r="B85" i="7"/>
  <c r="B86" i="7"/>
  <c r="B87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A145" i="7" l="1"/>
  <c r="A144" i="7"/>
  <c r="A146" i="7" l="1"/>
  <c r="A147" i="7" l="1"/>
  <c r="A149" i="7" l="1"/>
  <c r="A148" i="7"/>
  <c r="A150" i="7" l="1"/>
  <c r="A151" i="7" s="1"/>
  <c r="A152" i="7" l="1"/>
  <c r="A153" i="7" s="1"/>
  <c r="A154" i="7" s="1"/>
  <c r="A155" i="7" s="1"/>
  <c r="A156" i="7" s="1"/>
  <c r="A157" i="7" s="1"/>
  <c r="A158" i="7" s="1"/>
  <c r="A159" i="7" s="1"/>
  <c r="A3" i="35" l="1"/>
  <c r="L49" i="7" l="1"/>
  <c r="K49" i="7"/>
  <c r="J49" i="7"/>
  <c r="I49" i="7"/>
  <c r="H49" i="7"/>
  <c r="G49" i="7"/>
  <c r="F49" i="7"/>
  <c r="E49" i="7"/>
  <c r="D49" i="7"/>
  <c r="C49" i="7"/>
  <c r="B49" i="7"/>
  <c r="A49" i="7"/>
  <c r="A59" i="7"/>
  <c r="A60" i="7" s="1"/>
  <c r="B280" i="7"/>
  <c r="B260" i="7"/>
  <c r="B240" i="7"/>
  <c r="B220" i="7"/>
  <c r="B200" i="7"/>
  <c r="B181" i="7"/>
  <c r="B180" i="7"/>
  <c r="B176" i="7"/>
  <c r="B177" i="7"/>
  <c r="B178" i="7"/>
  <c r="B179" i="7"/>
  <c r="B160" i="7"/>
  <c r="B141" i="7"/>
  <c r="B140" i="7"/>
  <c r="B121" i="7"/>
  <c r="B120" i="7"/>
  <c r="B101" i="7"/>
  <c r="B100" i="7"/>
  <c r="B81" i="7"/>
  <c r="B80" i="7"/>
  <c r="B61" i="7"/>
  <c r="B76" i="7"/>
  <c r="B77" i="7"/>
  <c r="B78" i="7"/>
  <c r="B79" i="7"/>
  <c r="B60" i="7"/>
  <c r="A1" i="35" l="1"/>
  <c r="A61" i="7"/>
  <c r="C14" i="35"/>
  <c r="C13" i="35"/>
  <c r="C12" i="35"/>
  <c r="C11" i="35"/>
  <c r="C10" i="35"/>
  <c r="C9" i="35"/>
  <c r="C8" i="35"/>
  <c r="C7" i="35"/>
  <c r="C6" i="35"/>
  <c r="A62" i="7" l="1"/>
  <c r="D8" i="35"/>
  <c r="D12" i="35"/>
  <c r="D6" i="35"/>
  <c r="J13" i="1"/>
  <c r="L3" i="2"/>
  <c r="G3" i="2"/>
  <c r="H3" i="2" s="1"/>
  <c r="L2" i="2"/>
  <c r="G2" i="2"/>
  <c r="H2" i="2" s="1"/>
  <c r="E2" i="2"/>
  <c r="E18" i="43" l="1"/>
  <c r="E28" i="42"/>
  <c r="E13" i="42"/>
  <c r="E23" i="43"/>
  <c r="F23" i="43" s="1"/>
  <c r="G23" i="43" s="1"/>
  <c r="H23" i="43" s="1"/>
  <c r="E8" i="42"/>
  <c r="E33" i="43"/>
  <c r="E33" i="42"/>
  <c r="F33" i="42" s="1"/>
  <c r="G33" i="42" s="1"/>
  <c r="H33" i="42" s="1"/>
  <c r="E8" i="43"/>
  <c r="E18" i="42"/>
  <c r="E23" i="42"/>
  <c r="E28" i="43"/>
  <c r="F28" i="43" s="1"/>
  <c r="G28" i="43" s="1"/>
  <c r="H28" i="43" s="1"/>
  <c r="E13" i="43"/>
  <c r="F13" i="43" s="1"/>
  <c r="G13" i="43" s="1"/>
  <c r="H13" i="43" s="1"/>
  <c r="F23" i="42"/>
  <c r="G23" i="42" s="1"/>
  <c r="H23" i="42" s="1"/>
  <c r="F13" i="42"/>
  <c r="G13" i="42" s="1"/>
  <c r="H13" i="42" s="1"/>
  <c r="F8" i="42"/>
  <c r="F33" i="43"/>
  <c r="G33" i="43" s="1"/>
  <c r="H33" i="43" s="1"/>
  <c r="F18" i="43"/>
  <c r="G18" i="43" s="1"/>
  <c r="H18" i="43" s="1"/>
  <c r="F28" i="42"/>
  <c r="G28" i="42" s="1"/>
  <c r="H28" i="42" s="1"/>
  <c r="F18" i="42"/>
  <c r="G18" i="42" s="1"/>
  <c r="H18" i="42" s="1"/>
  <c r="L16" i="42"/>
  <c r="L38" i="42" s="1"/>
  <c r="L16" i="43"/>
  <c r="L38" i="43" s="1"/>
  <c r="L7" i="42" s="1"/>
  <c r="L15" i="38"/>
  <c r="L16" i="38" s="1" a="1"/>
  <c r="L16" i="38" s="1"/>
  <c r="L17" i="38" s="1" a="1"/>
  <c r="L17" i="38" s="1"/>
  <c r="L18" i="38" s="1" a="1"/>
  <c r="L18" i="38" s="1"/>
  <c r="L19" i="38" s="1" a="1"/>
  <c r="L19" i="38" s="1"/>
  <c r="L20" i="38" s="1" a="1"/>
  <c r="L20" i="38" s="1"/>
  <c r="L21" i="38" s="1" a="1"/>
  <c r="L21" i="38" s="1"/>
  <c r="L22" i="38" s="1" a="1"/>
  <c r="L22" i="38" s="1"/>
  <c r="L23" i="38" s="1" a="1"/>
  <c r="L23" i="38" s="1"/>
  <c r="L24" i="38" s="1" a="1"/>
  <c r="L24" i="38" s="1"/>
  <c r="L25" i="38" s="1" a="1"/>
  <c r="L25" i="38" s="1"/>
  <c r="L26" i="38" s="1" a="1"/>
  <c r="L26" i="38" s="1"/>
  <c r="L27" i="38" s="1" a="1"/>
  <c r="L27" i="38" s="1"/>
  <c r="K15" i="38"/>
  <c r="K16" i="38" s="1" a="1"/>
  <c r="K16" i="38" s="1"/>
  <c r="K17" i="38" s="1" a="1"/>
  <c r="K17" i="38" s="1"/>
  <c r="K18" i="38" s="1" a="1"/>
  <c r="K18" i="38" s="1"/>
  <c r="K19" i="38" s="1" a="1"/>
  <c r="K19" i="38" s="1"/>
  <c r="K20" i="38" s="1" a="1"/>
  <c r="K20" i="38" s="1"/>
  <c r="K21" i="38" s="1" a="1"/>
  <c r="K21" i="38" s="1"/>
  <c r="K22" i="38" s="1" a="1"/>
  <c r="K22" i="38" s="1"/>
  <c r="K23" i="38" s="1" a="1"/>
  <c r="K23" i="38" s="1"/>
  <c r="K24" i="38" s="1" a="1"/>
  <c r="K24" i="38" s="1"/>
  <c r="K25" i="38" s="1" a="1"/>
  <c r="K25" i="38" s="1"/>
  <c r="K26" i="38" s="1" a="1"/>
  <c r="K26" i="38" s="1"/>
  <c r="K27" i="38" s="1" a="1"/>
  <c r="K27" i="38" s="1"/>
  <c r="K28" i="38" s="1" a="1"/>
  <c r="K28" i="38" s="1"/>
  <c r="K29" i="38" s="1" a="1"/>
  <c r="K29" i="38" s="1"/>
  <c r="K30" i="38" s="1" a="1"/>
  <c r="K30" i="38" s="1"/>
  <c r="K31" i="38" s="1" a="1"/>
  <c r="K31" i="38" s="1"/>
  <c r="K32" i="38" s="1" a="1"/>
  <c r="K32" i="38" s="1"/>
  <c r="C19" i="38"/>
  <c r="C18" i="38"/>
  <c r="A63" i="7"/>
  <c r="K2" i="2"/>
  <c r="E3" i="2"/>
  <c r="K15" i="1"/>
  <c r="L15" i="1"/>
  <c r="K3" i="2"/>
  <c r="E38" i="43" l="1"/>
  <c r="E7" i="42" s="1"/>
  <c r="F8" i="43"/>
  <c r="G8" i="43" s="1"/>
  <c r="E38" i="42"/>
  <c r="F38" i="42"/>
  <c r="G8" i="42"/>
  <c r="D21" i="38"/>
  <c r="L28" i="38" a="1"/>
  <c r="L28" i="38" s="1"/>
  <c r="B21" i="38"/>
  <c r="H17" i="38"/>
  <c r="C17" i="38"/>
  <c r="H16" i="38"/>
  <c r="E16" i="38"/>
  <c r="E17" i="38"/>
  <c r="C16" i="38"/>
  <c r="D6" i="38"/>
  <c r="K33" i="38" a="1"/>
  <c r="K33" i="38" s="1"/>
  <c r="B6" i="38"/>
  <c r="B20" i="38"/>
  <c r="D20" i="38"/>
  <c r="A2" i="1"/>
  <c r="A64" i="7"/>
  <c r="L16" i="1" a="1"/>
  <c r="L16" i="1" s="1"/>
  <c r="K16" i="1" a="1"/>
  <c r="K16" i="1" s="1"/>
  <c r="K17" i="1" s="1" a="1"/>
  <c r="K17" i="1" s="1"/>
  <c r="K18" i="1" s="1" a="1"/>
  <c r="K18" i="1" s="1"/>
  <c r="K19" i="1" s="1" a="1"/>
  <c r="K19" i="1" s="1"/>
  <c r="K20" i="1" s="1" a="1"/>
  <c r="K20" i="1" s="1"/>
  <c r="F38" i="43" l="1"/>
  <c r="F7" i="42" s="1"/>
  <c r="H8" i="43"/>
  <c r="H38" i="43" s="1"/>
  <c r="G38" i="43"/>
  <c r="G7" i="42" s="1"/>
  <c r="H8" i="42"/>
  <c r="H38" i="42" s="1"/>
  <c r="G38" i="42"/>
  <c r="L29" i="38" a="1"/>
  <c r="L29" i="38" s="1"/>
  <c r="L30" i="38" s="1" a="1"/>
  <c r="L30" i="38" s="1"/>
  <c r="L31" i="38" s="1" a="1"/>
  <c r="L31" i="38" s="1"/>
  <c r="L32" i="38" s="1" a="1"/>
  <c r="L32" i="38" s="1"/>
  <c r="L33" i="38" s="1" a="1"/>
  <c r="L33" i="38" s="1"/>
  <c r="L34" i="38" s="1" a="1"/>
  <c r="L34" i="38" s="1"/>
  <c r="L35" i="38" s="1" a="1"/>
  <c r="L35" i="38" s="1"/>
  <c r="L36" i="38" s="1" a="1"/>
  <c r="L36" i="38" s="1"/>
  <c r="D22" i="38"/>
  <c r="B22" i="38"/>
  <c r="K34" i="38" a="1"/>
  <c r="K34" i="38" s="1"/>
  <c r="B7" i="38"/>
  <c r="D7" i="38"/>
  <c r="E18" i="38"/>
  <c r="E19" i="38"/>
  <c r="A65" i="7"/>
  <c r="K21" i="1" a="1"/>
  <c r="K21" i="1" s="1"/>
  <c r="B11" i="1" s="1"/>
  <c r="D10" i="1"/>
  <c r="L17" i="1" a="1"/>
  <c r="L17" i="1" s="1"/>
  <c r="D21" i="1" s="1"/>
  <c r="D20" i="1"/>
  <c r="B20" i="1"/>
  <c r="D6" i="1"/>
  <c r="B6" i="1"/>
  <c r="M39" i="43" l="1"/>
  <c r="H7" i="42"/>
  <c r="F24" i="38"/>
  <c r="H24" i="38"/>
  <c r="H23" i="38"/>
  <c r="F23" i="38"/>
  <c r="H22" i="38"/>
  <c r="F22" i="38"/>
  <c r="F21" i="38"/>
  <c r="H21" i="38"/>
  <c r="F20" i="38"/>
  <c r="H20" i="38"/>
  <c r="D25" i="38"/>
  <c r="B25" i="38"/>
  <c r="D24" i="38"/>
  <c r="B24" i="38"/>
  <c r="B23" i="38"/>
  <c r="D23" i="38"/>
  <c r="K35" i="38" a="1"/>
  <c r="K35" i="38" s="1"/>
  <c r="D8" i="38"/>
  <c r="B8" i="38"/>
  <c r="A66" i="7"/>
  <c r="K22" i="1" a="1"/>
  <c r="K22" i="1" s="1"/>
  <c r="K23" i="1" s="1" a="1"/>
  <c r="K23" i="1" s="1"/>
  <c r="K24" i="1" s="1" a="1"/>
  <c r="K24" i="1" s="1"/>
  <c r="K25" i="1" s="1" a="1"/>
  <c r="K25" i="1" s="1"/>
  <c r="K26" i="1" s="1" a="1"/>
  <c r="K26" i="1" s="1"/>
  <c r="K27" i="1" s="1" a="1"/>
  <c r="K27" i="1" s="1"/>
  <c r="K28" i="1" s="1" a="1"/>
  <c r="K28" i="1" s="1"/>
  <c r="K29" i="1" s="1" a="1"/>
  <c r="K29" i="1" s="1"/>
  <c r="K30" i="1" s="1" a="1"/>
  <c r="K30" i="1" s="1"/>
  <c r="K31" i="1" s="1" a="1"/>
  <c r="K31" i="1" s="1"/>
  <c r="K32" i="1" s="1" a="1"/>
  <c r="K32" i="1" s="1"/>
  <c r="L18" i="1" a="1"/>
  <c r="L18" i="1" s="1"/>
  <c r="D22" i="1" s="1"/>
  <c r="B21" i="1"/>
  <c r="D7" i="1"/>
  <c r="B7" i="1"/>
  <c r="B8" i="1"/>
  <c r="D8" i="1"/>
  <c r="A67" i="7" l="1"/>
  <c r="A68" i="7" s="1"/>
  <c r="K36" i="38" a="1"/>
  <c r="K36" i="38" s="1"/>
  <c r="B9" i="38"/>
  <c r="D9" i="38"/>
  <c r="K33" i="1" a="1"/>
  <c r="K33" i="1" s="1"/>
  <c r="K34" i="1" s="1" a="1"/>
  <c r="K34" i="1" s="1"/>
  <c r="K35" i="1" s="1" a="1"/>
  <c r="K35" i="1" s="1"/>
  <c r="K36" i="1" s="1" a="1"/>
  <c r="K36" i="1" s="1"/>
  <c r="K37" i="1" s="1" a="1"/>
  <c r="K37" i="1" s="1"/>
  <c r="K38" i="1" s="1" a="1"/>
  <c r="K38" i="1" s="1"/>
  <c r="K39" i="1" s="1" a="1"/>
  <c r="K39" i="1" s="1"/>
  <c r="K40" i="1" s="1" a="1"/>
  <c r="K40" i="1" s="1"/>
  <c r="K41" i="1" s="1" a="1"/>
  <c r="K41" i="1" s="1"/>
  <c r="K42" i="1" s="1" a="1"/>
  <c r="K42" i="1" s="1"/>
  <c r="K43" i="1" s="1" a="1"/>
  <c r="K43" i="1" s="1"/>
  <c r="K44" i="1" s="1" a="1"/>
  <c r="K44" i="1" s="1"/>
  <c r="K45" i="1" s="1" a="1"/>
  <c r="K45" i="1" s="1"/>
  <c r="K46" i="1" s="1" a="1"/>
  <c r="K46" i="1" s="1"/>
  <c r="K47" i="1" s="1" a="1"/>
  <c r="K47" i="1" s="1"/>
  <c r="K48" i="1" s="1" a="1"/>
  <c r="K48" i="1" s="1"/>
  <c r="H13" i="1"/>
  <c r="F13" i="1"/>
  <c r="B22" i="1"/>
  <c r="L19" i="1" a="1"/>
  <c r="L19" i="1" s="1"/>
  <c r="D23" i="1" s="1"/>
  <c r="B9" i="1"/>
  <c r="D9" i="1"/>
  <c r="A69" i="7" l="1"/>
  <c r="K37" i="38" a="1"/>
  <c r="K37" i="38" s="1"/>
  <c r="D10" i="38"/>
  <c r="B10" i="38"/>
  <c r="A70" i="7"/>
  <c r="A71" i="7" s="1"/>
  <c r="A72" i="7" s="1"/>
  <c r="L20" i="1" a="1"/>
  <c r="L20" i="1" s="1"/>
  <c r="D24" i="1" s="1"/>
  <c r="B23" i="1"/>
  <c r="D11" i="1"/>
  <c r="B10" i="1"/>
  <c r="A73" i="7" l="1"/>
  <c r="A74" i="7" s="1"/>
  <c r="K38" i="38" a="1"/>
  <c r="K38" i="38" s="1"/>
  <c r="D11" i="38"/>
  <c r="B11" i="38"/>
  <c r="A75" i="7"/>
  <c r="A76" i="7" s="1"/>
  <c r="A77" i="7"/>
  <c r="A78" i="7" s="1"/>
  <c r="B24" i="1"/>
  <c r="L21" i="1" a="1"/>
  <c r="L21" i="1" s="1"/>
  <c r="D25" i="1" s="1"/>
  <c r="B12" i="1"/>
  <c r="D12" i="1"/>
  <c r="K39" i="38" l="1" a="1"/>
  <c r="K39" i="38" s="1"/>
  <c r="D12" i="38"/>
  <c r="B12" i="38"/>
  <c r="A79" i="7"/>
  <c r="L22" i="1" a="1"/>
  <c r="L22" i="1" s="1"/>
  <c r="H20" i="1" s="1"/>
  <c r="B25" i="1"/>
  <c r="D13" i="1"/>
  <c r="B13" i="1"/>
  <c r="K40" i="38" l="1" a="1"/>
  <c r="K40" i="38" s="1"/>
  <c r="D13" i="38"/>
  <c r="B13" i="38"/>
  <c r="D60" i="7"/>
  <c r="A80" i="7"/>
  <c r="C60" i="7"/>
  <c r="F6" i="35"/>
  <c r="G6" i="35" s="1"/>
  <c r="F20" i="1"/>
  <c r="L23" i="1" a="1"/>
  <c r="L23" i="1" s="1"/>
  <c r="H21" i="1" s="1"/>
  <c r="D14" i="1"/>
  <c r="B14" i="1"/>
  <c r="E6" i="35" l="1"/>
  <c r="K41" i="38" a="1"/>
  <c r="K41" i="38" s="1"/>
  <c r="B14" i="38"/>
  <c r="D14" i="38"/>
  <c r="F7" i="35"/>
  <c r="G7" i="35" s="1"/>
  <c r="A81" i="7"/>
  <c r="F21" i="1"/>
  <c r="L24" i="1" a="1"/>
  <c r="L24" i="1" s="1"/>
  <c r="H22" i="1" s="1"/>
  <c r="H6" i="1"/>
  <c r="F6" i="1"/>
  <c r="K42" i="38" l="1" a="1"/>
  <c r="K42" i="38" s="1"/>
  <c r="F6" i="38"/>
  <c r="H6" i="38"/>
  <c r="A82" i="7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F22" i="1"/>
  <c r="L25" i="1" a="1"/>
  <c r="L25" i="1" s="1"/>
  <c r="F23" i="1" s="1"/>
  <c r="F7" i="1"/>
  <c r="H7" i="1"/>
  <c r="K43" i="38" l="1" a="1"/>
  <c r="K43" i="38" s="1"/>
  <c r="F7" i="38"/>
  <c r="H7" i="38"/>
  <c r="D80" i="7"/>
  <c r="F8" i="35"/>
  <c r="G8" i="35" s="1"/>
  <c r="A101" i="7"/>
  <c r="C80" i="7"/>
  <c r="H23" i="1"/>
  <c r="L26" i="1" a="1"/>
  <c r="L26" i="1" s="1"/>
  <c r="L27" i="1" s="1" a="1"/>
  <c r="L27" i="1" s="1"/>
  <c r="L28" i="1" s="1" a="1"/>
  <c r="L28" i="1" s="1"/>
  <c r="L29" i="1" s="1" a="1"/>
  <c r="L29" i="1" s="1"/>
  <c r="L30" i="1" s="1" a="1"/>
  <c r="L30" i="1" s="1"/>
  <c r="L31" i="1" s="1" a="1"/>
  <c r="L31" i="1" s="1"/>
  <c r="L32" i="1" s="1" a="1"/>
  <c r="L32" i="1" s="1"/>
  <c r="L33" i="1" s="1" a="1"/>
  <c r="L33" i="1" s="1"/>
  <c r="L34" i="1" s="1" a="1"/>
  <c r="L34" i="1" s="1"/>
  <c r="L35" i="1" s="1" a="1"/>
  <c r="L35" i="1" s="1"/>
  <c r="L36" i="1" s="1" a="1"/>
  <c r="L36" i="1" s="1"/>
  <c r="F8" i="1"/>
  <c r="H8" i="1"/>
  <c r="K44" i="38" l="1" a="1"/>
  <c r="K44" i="38" s="1"/>
  <c r="H8" i="38"/>
  <c r="F8" i="38"/>
  <c r="F24" i="1"/>
  <c r="H24" i="1"/>
  <c r="H25" i="1" s="1"/>
  <c r="A102" i="7"/>
  <c r="H9" i="1"/>
  <c r="F9" i="1"/>
  <c r="K45" i="38" l="1" a="1"/>
  <c r="K45" i="38" s="1"/>
  <c r="H9" i="38"/>
  <c r="F9" i="38"/>
  <c r="A103" i="7"/>
  <c r="A104" i="7" s="1"/>
  <c r="F10" i="1"/>
  <c r="H10" i="1"/>
  <c r="A105" i="7" l="1"/>
  <c r="K46" i="38" a="1"/>
  <c r="K46" i="38" s="1"/>
  <c r="F10" i="38"/>
  <c r="H10" i="38"/>
  <c r="A106" i="7"/>
  <c r="F11" i="1"/>
  <c r="H11" i="1"/>
  <c r="K47" i="38" l="1" a="1"/>
  <c r="K47" i="38" s="1"/>
  <c r="F11" i="38"/>
  <c r="H11" i="38"/>
  <c r="A107" i="7"/>
  <c r="F12" i="1"/>
  <c r="H12" i="1"/>
  <c r="D45" i="35"/>
  <c r="K48" i="38" l="1" a="1"/>
  <c r="K48" i="38" s="1"/>
  <c r="F12" i="38"/>
  <c r="H12" i="38"/>
  <c r="A108" i="7"/>
  <c r="A2" i="35"/>
  <c r="F13" i="38" l="1"/>
  <c r="H13" i="38"/>
  <c r="H14" i="1" s="1"/>
  <c r="H14" i="38" s="1"/>
  <c r="G5" i="38" s="1"/>
  <c r="A109" i="7"/>
  <c r="C5" i="38" l="1"/>
  <c r="A110" i="7"/>
  <c r="A112" i="7"/>
  <c r="A113" i="7" s="1"/>
  <c r="A114" i="7" s="1"/>
  <c r="A115" i="7" s="1"/>
  <c r="A116" i="7" s="1"/>
  <c r="A117" i="7" s="1"/>
  <c r="B39" i="42" l="1"/>
  <c r="A111" i="7"/>
  <c r="A118" i="7"/>
  <c r="A119" i="7" s="1"/>
  <c r="D12" i="29"/>
  <c r="D44" i="35"/>
  <c r="H44" i="35"/>
  <c r="E12" i="29"/>
  <c r="C14" i="29"/>
  <c r="C7" i="29"/>
  <c r="D13" i="29"/>
  <c r="D10" i="29"/>
  <c r="C18" i="1"/>
  <c r="C5" i="29"/>
  <c r="B7" i="29"/>
  <c r="C19" i="1"/>
  <c r="B8" i="29"/>
  <c r="E8" i="29"/>
  <c r="E9" i="29"/>
  <c r="E10" i="29"/>
  <c r="D3" i="29"/>
  <c r="B4" i="29"/>
  <c r="B5" i="29"/>
  <c r="B6" i="29"/>
  <c r="E6" i="29"/>
  <c r="E11" i="29"/>
  <c r="D7" i="29"/>
  <c r="C4" i="29"/>
  <c r="B9" i="29"/>
  <c r="E13" i="29"/>
  <c r="D14" i="29"/>
  <c r="B11" i="29"/>
  <c r="E3" i="29"/>
  <c r="C12" i="29"/>
  <c r="D8" i="29"/>
  <c r="E4" i="29"/>
  <c r="C13" i="29"/>
  <c r="D9" i="29"/>
  <c r="E5" i="29"/>
  <c r="C10" i="29"/>
  <c r="D6" i="29"/>
  <c r="B10" i="29"/>
  <c r="C3" i="29"/>
  <c r="D11" i="29"/>
  <c r="E7" i="29"/>
  <c r="B12" i="29"/>
  <c r="C8" i="29"/>
  <c r="D4" i="29"/>
  <c r="B13" i="29"/>
  <c r="C9" i="29"/>
  <c r="D5" i="29"/>
  <c r="B14" i="29"/>
  <c r="C6" i="29"/>
  <c r="E14" i="29"/>
  <c r="B3" i="29"/>
  <c r="C11" i="29"/>
  <c r="F5" i="29" l="1"/>
  <c r="C100" i="7"/>
  <c r="A120" i="7"/>
  <c r="F8" i="29"/>
  <c r="F12" i="29"/>
  <c r="F6" i="29"/>
  <c r="F13" i="29"/>
  <c r="F3" i="29"/>
  <c r="F9" i="29"/>
  <c r="F10" i="29"/>
  <c r="F7" i="29"/>
  <c r="F11" i="29"/>
  <c r="F14" i="29"/>
  <c r="F4" i="29"/>
  <c r="H25" i="38"/>
  <c r="H16" i="1"/>
  <c r="H17" i="1"/>
  <c r="E16" i="1"/>
  <c r="E17" i="1"/>
  <c r="C16" i="1"/>
  <c r="C17" i="1"/>
  <c r="E39" i="42" l="1"/>
  <c r="D39" i="42"/>
  <c r="L39" i="42"/>
  <c r="C39" i="42"/>
  <c r="D43" i="35"/>
  <c r="E19" i="1"/>
  <c r="E18" i="1"/>
  <c r="H39" i="42"/>
  <c r="M39" i="42" l="1"/>
  <c r="G39" i="42"/>
  <c r="F39" i="42"/>
  <c r="G5" i="1"/>
  <c r="C5" i="1"/>
  <c r="D100" i="7" l="1"/>
  <c r="A121" i="7" l="1"/>
  <c r="A122" i="7" l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l="1"/>
  <c r="A135" i="7" s="1"/>
  <c r="A136" i="7" s="1"/>
  <c r="A137" i="7" s="1"/>
  <c r="A138" i="7" s="1"/>
  <c r="A139" i="7" s="1"/>
  <c r="A140" i="7" s="1"/>
  <c r="C120" i="7"/>
  <c r="D120" i="7"/>
  <c r="F9" i="35" l="1"/>
  <c r="G9" i="35" s="1"/>
  <c r="A141" i="7"/>
  <c r="A142" i="7" s="1"/>
  <c r="A143" i="7" s="1"/>
  <c r="F10" i="35"/>
  <c r="G10" i="35" s="1"/>
  <c r="C140" i="7" l="1"/>
  <c r="D140" i="7" l="1"/>
  <c r="A160" i="7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F11" i="35" l="1"/>
  <c r="G11" i="35" s="1"/>
  <c r="A176" i="7" l="1"/>
  <c r="A177" i="7" l="1"/>
  <c r="A178" i="7"/>
  <c r="A179" i="7" l="1"/>
  <c r="A180" i="7" s="1"/>
  <c r="C160" i="7" l="1"/>
  <c r="A181" i="7"/>
  <c r="D160" i="7"/>
  <c r="A182" i="7" l="1"/>
  <c r="A183" i="7" s="1"/>
  <c r="A184" i="7" s="1"/>
  <c r="A185" i="7" l="1"/>
  <c r="A186" i="7" s="1"/>
  <c r="A187" i="7" s="1"/>
  <c r="A188" i="7" l="1"/>
  <c r="A189" i="7" l="1"/>
  <c r="A190" i="7" s="1"/>
  <c r="A191" i="7" s="1"/>
  <c r="A192" i="7" l="1"/>
  <c r="A193" i="7" s="1"/>
  <c r="A194" i="7" s="1"/>
  <c r="A195" i="7" s="1"/>
  <c r="A196" i="7" s="1"/>
  <c r="A197" i="7" s="1"/>
  <c r="A198" i="7" s="1"/>
  <c r="A199" i="7" s="1"/>
  <c r="C180" i="7" s="1"/>
  <c r="A200" i="7" l="1"/>
  <c r="A201" i="7" s="1"/>
  <c r="D180" i="7"/>
  <c r="A202" i="7" l="1"/>
  <c r="A203" i="7" s="1"/>
  <c r="A204" i="7" s="1"/>
  <c r="A205" i="7" l="1"/>
  <c r="A206" i="7" l="1"/>
  <c r="A207" i="7" l="1"/>
  <c r="A208" i="7" l="1"/>
  <c r="A209" i="7" l="1"/>
  <c r="A210" i="7" s="1"/>
  <c r="A211" i="7" s="1"/>
  <c r="A212" i="7" l="1"/>
  <c r="A213" i="7" l="1"/>
  <c r="A214" i="7" l="1"/>
  <c r="A215" i="7" s="1"/>
  <c r="A216" i="7" s="1"/>
  <c r="A217" i="7" s="1"/>
  <c r="A218" i="7" s="1"/>
  <c r="A219" i="7" s="1"/>
  <c r="A220" i="7" l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D200" i="7"/>
  <c r="C200" i="7"/>
  <c r="A240" i="7" l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D220" i="7"/>
  <c r="C220" i="7"/>
  <c r="F12" i="35"/>
  <c r="G12" i="35" s="1"/>
  <c r="A256" i="7" l="1"/>
  <c r="A257" i="7" l="1"/>
  <c r="A258" i="7" s="1"/>
  <c r="A259" i="7" l="1"/>
  <c r="D240" i="7" s="1"/>
  <c r="A260" i="7"/>
  <c r="A261" i="7" s="1"/>
  <c r="A262" i="7" s="1"/>
  <c r="C240" i="7" l="1"/>
  <c r="A263" i="7"/>
  <c r="A264" i="7" s="1"/>
  <c r="A265" i="7" l="1"/>
  <c r="A266" i="7" s="1"/>
  <c r="A267" i="7" s="1"/>
  <c r="A268" i="7" l="1"/>
  <c r="A269" i="7" l="1"/>
  <c r="A270" i="7" l="1"/>
  <c r="A271" i="7" l="1"/>
  <c r="A272" i="7" l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D260" i="7" l="1"/>
  <c r="C260" i="7"/>
  <c r="A284" i="7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F14" i="35" l="1"/>
  <c r="G14" i="35" s="1"/>
  <c r="F20" i="35"/>
  <c r="G20" i="35" s="1"/>
  <c r="F21" i="35"/>
  <c r="G21" i="35" s="1"/>
  <c r="F19" i="35"/>
  <c r="G19" i="35" s="1"/>
  <c r="F17" i="35"/>
  <c r="G17" i="35" s="1"/>
  <c r="F16" i="35"/>
  <c r="G16" i="35" s="1"/>
  <c r="F22" i="35"/>
  <c r="G22" i="35" s="1"/>
  <c r="F18" i="35"/>
  <c r="G18" i="35" s="1"/>
  <c r="F15" i="35"/>
  <c r="G15" i="35" s="1"/>
  <c r="A300" i="7"/>
  <c r="A301" i="7" s="1"/>
  <c r="A302" i="7" l="1"/>
  <c r="A303" i="7" l="1"/>
  <c r="A321" i="7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04" i="7" l="1"/>
  <c r="A341" i="7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F13" i="35"/>
  <c r="G13" i="35" s="1"/>
  <c r="D280" i="7"/>
  <c r="C280" i="7"/>
  <c r="A305" i="7" l="1"/>
  <c r="D340" i="7"/>
  <c r="C340" i="7"/>
  <c r="A306" i="7" l="1"/>
  <c r="E8" i="35"/>
  <c r="H8" i="35" s="1"/>
  <c r="A307" i="7" l="1"/>
  <c r="A308" i="7" l="1"/>
  <c r="A309" i="7" l="1"/>
  <c r="A310" i="7" l="1"/>
  <c r="A311" i="7" l="1"/>
  <c r="A312" i="7" l="1"/>
  <c r="A313" i="7" l="1"/>
  <c r="A314" i="7" l="1"/>
  <c r="A315" i="7" l="1"/>
  <c r="A316" i="7" s="1"/>
  <c r="A317" i="7" s="1"/>
  <c r="A318" i="7" s="1"/>
  <c r="A319" i="7" s="1"/>
  <c r="A320" i="7" l="1"/>
  <c r="F23" i="35" s="1"/>
  <c r="G23" i="35" s="1"/>
  <c r="C300" i="7"/>
  <c r="D300" i="7"/>
  <c r="F27" i="35" l="1"/>
  <c r="G27" i="35" s="1"/>
  <c r="F26" i="35"/>
  <c r="G26" i="35" s="1"/>
  <c r="F25" i="35"/>
  <c r="G25" i="35" s="1"/>
  <c r="F24" i="35"/>
  <c r="G24" i="35" s="1"/>
  <c r="H6" i="35" s="1"/>
  <c r="D320" i="7"/>
  <c r="C320" i="7"/>
  <c r="E11" i="35" s="1"/>
  <c r="H11" i="35" s="1"/>
  <c r="F31" i="35"/>
  <c r="G31" i="35" s="1"/>
  <c r="F34" i="35"/>
  <c r="G34" i="35" s="1"/>
  <c r="F32" i="35"/>
  <c r="G32" i="35" s="1"/>
  <c r="F28" i="35"/>
  <c r="G28" i="35" s="1"/>
  <c r="F33" i="35"/>
  <c r="G33" i="35" s="1"/>
  <c r="F30" i="35"/>
  <c r="G30" i="35" s="1"/>
  <c r="F29" i="35"/>
  <c r="G29" i="35" s="1"/>
  <c r="F35" i="35"/>
  <c r="G35" i="35" s="1"/>
  <c r="F41" i="35"/>
  <c r="G41" i="35" s="1"/>
  <c r="F36" i="35"/>
  <c r="G36" i="35" s="1"/>
  <c r="F38" i="35"/>
  <c r="G38" i="35" s="1"/>
  <c r="F37" i="35"/>
  <c r="G37" i="35" s="1"/>
  <c r="F42" i="35"/>
  <c r="G42" i="35" s="1"/>
  <c r="F40" i="35"/>
  <c r="G40" i="35" s="1"/>
  <c r="F39" i="35"/>
  <c r="G39" i="35" s="1"/>
  <c r="E17" i="35" l="1"/>
  <c r="H17" i="35" s="1"/>
  <c r="E9" i="35"/>
  <c r="H9" i="35" s="1"/>
  <c r="E15" i="35"/>
  <c r="H15" i="35" s="1"/>
  <c r="E19" i="35"/>
  <c r="H19" i="35" s="1"/>
  <c r="E21" i="35"/>
  <c r="H21" i="35" s="1"/>
  <c r="E35" i="35"/>
  <c r="H35" i="35" s="1"/>
  <c r="E20" i="35"/>
  <c r="H20" i="35" s="1"/>
  <c r="E14" i="35"/>
  <c r="H14" i="35" s="1"/>
  <c r="E23" i="35"/>
  <c r="H23" i="35" s="1"/>
  <c r="E25" i="35"/>
  <c r="H25" i="35" s="1"/>
  <c r="E27" i="35"/>
  <c r="H27" i="35" s="1"/>
  <c r="E13" i="35"/>
  <c r="H13" i="35" s="1"/>
  <c r="E41" i="35"/>
  <c r="H41" i="35" s="1"/>
  <c r="E10" i="35"/>
  <c r="H10" i="35" s="1"/>
  <c r="E28" i="35"/>
  <c r="H28" i="35" s="1"/>
  <c r="E24" i="35"/>
  <c r="H24" i="35" s="1"/>
  <c r="E29" i="35"/>
  <c r="H29" i="35" s="1"/>
  <c r="E36" i="35"/>
  <c r="H36" i="35" s="1"/>
  <c r="E34" i="35"/>
  <c r="H34" i="35" s="1"/>
  <c r="E7" i="35"/>
  <c r="H7" i="35" s="1"/>
  <c r="E42" i="35"/>
  <c r="H42" i="35" s="1"/>
  <c r="E38" i="35"/>
  <c r="H38" i="35" s="1"/>
  <c r="E31" i="35"/>
  <c r="H31" i="35" s="1"/>
  <c r="E39" i="35"/>
  <c r="H39" i="35" s="1"/>
  <c r="E12" i="35"/>
  <c r="H12" i="35" s="1"/>
  <c r="E37" i="35"/>
  <c r="H37" i="35" s="1"/>
  <c r="E32" i="35"/>
  <c r="H32" i="35" s="1"/>
  <c r="E22" i="35"/>
  <c r="H22" i="35" s="1"/>
  <c r="E18" i="35"/>
  <c r="H18" i="35" s="1"/>
  <c r="E30" i="35"/>
  <c r="H30" i="35" s="1"/>
  <c r="E26" i="35"/>
  <c r="H26" i="35" s="1"/>
  <c r="E16" i="35"/>
  <c r="H16" i="35" s="1"/>
  <c r="E33" i="35"/>
  <c r="H33" i="35" s="1"/>
  <c r="E40" i="35"/>
  <c r="H40" i="35" s="1"/>
  <c r="H43" i="35" l="1"/>
  <c r="H45" i="35" s="1"/>
</calcChain>
</file>

<file path=xl/sharedStrings.xml><?xml version="1.0" encoding="utf-8"?>
<sst xmlns="http://schemas.openxmlformats.org/spreadsheetml/2006/main" count="284" uniqueCount="175">
  <si>
    <t>수입 및 지출 결의서</t>
    <phoneticPr fontId="2" type="noConversion"/>
  </si>
  <si>
    <t>일  자</t>
    <phoneticPr fontId="2" type="noConversion"/>
  </si>
  <si>
    <t>적   요</t>
    <phoneticPr fontId="2" type="noConversion"/>
  </si>
  <si>
    <t>수입금액</t>
    <phoneticPr fontId="2" type="noConversion"/>
  </si>
  <si>
    <t>지출금액</t>
    <phoneticPr fontId="2" type="noConversion"/>
  </si>
  <si>
    <t>비   고</t>
    <phoneticPr fontId="2" type="noConversion"/>
  </si>
  <si>
    <t>교회보조금</t>
    <phoneticPr fontId="2" type="noConversion"/>
  </si>
  <si>
    <t>항목</t>
    <phoneticPr fontId="2" type="noConversion"/>
  </si>
  <si>
    <t>관</t>
    <phoneticPr fontId="2" type="noConversion"/>
  </si>
  <si>
    <t>전년도이월금</t>
    <phoneticPr fontId="2" type="noConversion"/>
  </si>
  <si>
    <t>수입/지출</t>
    <phoneticPr fontId="2" type="noConversion"/>
  </si>
  <si>
    <t>수입누적구분</t>
    <phoneticPr fontId="2" type="noConversion"/>
  </si>
  <si>
    <t>월</t>
    <phoneticPr fontId="2" type="noConversion"/>
  </si>
  <si>
    <t>전년도 이월금</t>
  </si>
  <si>
    <t>수입</t>
    <phoneticPr fontId="2" type="noConversion"/>
  </si>
  <si>
    <t>지출</t>
    <phoneticPr fontId="2" type="noConversion"/>
  </si>
  <si>
    <t>일 자</t>
    <phoneticPr fontId="2" type="noConversion"/>
  </si>
  <si>
    <t>증빙유무</t>
    <phoneticPr fontId="2" type="noConversion"/>
  </si>
  <si>
    <t>과 목</t>
    <phoneticPr fontId="2" type="noConversion"/>
  </si>
  <si>
    <t>항</t>
    <phoneticPr fontId="2" type="noConversion"/>
  </si>
  <si>
    <t>목</t>
    <phoneticPr fontId="2" type="noConversion"/>
  </si>
  <si>
    <t>금 액</t>
    <phoneticPr fontId="2" type="noConversion"/>
  </si>
  <si>
    <t>金</t>
    <phoneticPr fontId="2" type="noConversion"/>
  </si>
  <si>
    <r>
      <t xml:space="preserve">적 요
</t>
    </r>
    <r>
      <rPr>
        <sz val="8"/>
        <color theme="1"/>
        <rFont val="굴림"/>
        <family val="3"/>
        <charset val="129"/>
      </rPr>
      <t>(지출내역)</t>
    </r>
    <phoneticPr fontId="2" type="noConversion"/>
  </si>
  <si>
    <t>계</t>
    <phoneticPr fontId="2" type="noConversion"/>
  </si>
  <si>
    <t>수 입</t>
    <phoneticPr fontId="2" type="noConversion"/>
  </si>
  <si>
    <t>자 체 헌 금</t>
    <phoneticPr fontId="2" type="noConversion"/>
  </si>
  <si>
    <t>기  타</t>
    <phoneticPr fontId="2" type="noConversion"/>
  </si>
  <si>
    <t>금일</t>
    <phoneticPr fontId="2" type="noConversion"/>
  </si>
  <si>
    <t>누계</t>
    <phoneticPr fontId="2" type="noConversion"/>
  </si>
  <si>
    <t>지 출</t>
    <phoneticPr fontId="2" type="noConversion"/>
  </si>
  <si>
    <t>수입누계</t>
    <phoneticPr fontId="2" type="noConversion"/>
  </si>
  <si>
    <t>청구 및 영수자</t>
    <phoneticPr fontId="2" type="noConversion"/>
  </si>
  <si>
    <t>잔고</t>
    <phoneticPr fontId="2" type="noConversion"/>
  </si>
  <si>
    <t xml:space="preserve">(인)  </t>
    <phoneticPr fontId="2" type="noConversion"/>
  </si>
  <si>
    <r>
      <t xml:space="preserve">비 고
</t>
    </r>
    <r>
      <rPr>
        <sz val="8"/>
        <color theme="1"/>
        <rFont val="굴림"/>
        <family val="3"/>
        <charset val="129"/>
      </rPr>
      <t>(수입내역)</t>
    </r>
    <phoneticPr fontId="2" type="noConversion"/>
  </si>
  <si>
    <t>결 재</t>
    <phoneticPr fontId="2" type="noConversion"/>
  </si>
  <si>
    <t>회    계</t>
    <phoneticPr fontId="2" type="noConversion"/>
  </si>
  <si>
    <t>총    무</t>
    <phoneticPr fontId="2" type="noConversion"/>
  </si>
  <si>
    <t xml:space="preserve">  ※ 증빙없는 지출은 영수자 서명 및 내용을 상세히 기록할 것</t>
    <phoneticPr fontId="2" type="noConversion"/>
  </si>
  <si>
    <t>잔  액</t>
    <phoneticPr fontId="2" type="noConversion"/>
  </si>
  <si>
    <t>월계</t>
    <phoneticPr fontId="2" type="noConversion"/>
  </si>
  <si>
    <t>잔액</t>
    <phoneticPr fontId="2" type="noConversion"/>
  </si>
  <si>
    <t>수입(Income)</t>
    <phoneticPr fontId="2" type="noConversion"/>
  </si>
  <si>
    <t>지출(Expenses)</t>
    <phoneticPr fontId="2" type="noConversion"/>
  </si>
  <si>
    <t>교회보조금 (교회지원금,재배정금)</t>
    <phoneticPr fontId="2" type="noConversion"/>
  </si>
  <si>
    <t>구분</t>
    <phoneticPr fontId="2" type="noConversion"/>
  </si>
  <si>
    <t>세      입</t>
    <phoneticPr fontId="18" type="noConversion"/>
  </si>
  <si>
    <t>세      출</t>
    <phoneticPr fontId="18" type="noConversion"/>
  </si>
  <si>
    <t>비  고</t>
    <phoneticPr fontId="18" type="noConversion"/>
  </si>
  <si>
    <t>전년도이월금</t>
    <phoneticPr fontId="18" type="noConversion"/>
  </si>
  <si>
    <t>회기총수입</t>
    <phoneticPr fontId="2" type="noConversion"/>
  </si>
  <si>
    <t>합 계</t>
    <phoneticPr fontId="18" type="noConversion"/>
  </si>
  <si>
    <t>지출항목</t>
    <phoneticPr fontId="2" type="noConversion"/>
  </si>
  <si>
    <t>지 출 계</t>
    <phoneticPr fontId="2" type="noConversion"/>
  </si>
  <si>
    <t>교회지원금</t>
    <phoneticPr fontId="18" type="noConversion"/>
  </si>
  <si>
    <t>재배정금</t>
    <phoneticPr fontId="2" type="noConversion"/>
  </si>
  <si>
    <t>자체헌금/회비</t>
    <phoneticPr fontId="2" type="noConversion"/>
  </si>
  <si>
    <t>찬조/이자/기타</t>
    <phoneticPr fontId="18" type="noConversion"/>
  </si>
  <si>
    <t>이월금</t>
    <phoneticPr fontId="2" type="noConversion"/>
  </si>
  <si>
    <t>1월</t>
    <phoneticPr fontId="2" type="noConversion"/>
  </si>
  <si>
    <t>6월</t>
  </si>
  <si>
    <t>상반기 계</t>
    <phoneticPr fontId="18" type="noConversion"/>
  </si>
  <si>
    <t>잔액(이월금)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</si>
  <si>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</si>
  <si>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</si>
  <si>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</si>
  <si>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</si>
  <si>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</si>
  <si>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</si>
  <si>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상반기
검산총액</t>
    <phoneticPr fontId="2" type="noConversion"/>
  </si>
  <si>
    <t>상반기 검산총액</t>
    <phoneticPr fontId="2" type="noConversion"/>
  </si>
  <si>
    <t>하반기 계</t>
    <phoneticPr fontId="18" type="noConversion"/>
  </si>
  <si>
    <t>하반기 계</t>
    <phoneticPr fontId="2" type="noConversion"/>
  </si>
  <si>
    <t>합    계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</si>
  <si>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</si>
  <si>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</si>
  <si>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</si>
  <si>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</si>
  <si>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</si>
  <si>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</si>
  <si>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기관명 :</t>
    <phoneticPr fontId="18" type="noConversion"/>
  </si>
  <si>
    <t>(단위 : 원)</t>
    <phoneticPr fontId="2" type="noConversion"/>
  </si>
  <si>
    <t>위와 같이 검산자료를 제출합니다.</t>
    <phoneticPr fontId="2" type="noConversion"/>
  </si>
  <si>
    <t>부 장 :</t>
    <phoneticPr fontId="2" type="noConversion"/>
  </si>
  <si>
    <t xml:space="preserve">   (인)</t>
    <phoneticPr fontId="2" type="noConversion"/>
  </si>
  <si>
    <t>검산부장</t>
    <phoneticPr fontId="2" type="noConversion"/>
  </si>
  <si>
    <t>(인)</t>
    <phoneticPr fontId="2" type="noConversion"/>
  </si>
  <si>
    <t>회계담당자  :</t>
    <phoneticPr fontId="2" type="noConversion"/>
  </si>
  <si>
    <t xml:space="preserve">   (인)   휴대폰 :</t>
    <phoneticPr fontId="2" type="noConversion"/>
  </si>
  <si>
    <t>위     원</t>
    <phoneticPr fontId="2" type="noConversion"/>
  </si>
  <si>
    <t>기타수입</t>
    <phoneticPr fontId="2" type="noConversion"/>
  </si>
  <si>
    <t>회    장</t>
    <phoneticPr fontId="2" type="noConversion"/>
  </si>
  <si>
    <t>대상기간</t>
    <phoneticPr fontId="2" type="noConversion"/>
  </si>
  <si>
    <t>입력하세요</t>
    <phoneticPr fontId="2" type="noConversion"/>
  </si>
  <si>
    <t>시작일자</t>
    <phoneticPr fontId="2" type="noConversion"/>
  </si>
  <si>
    <t>종료일자</t>
    <phoneticPr fontId="2" type="noConversion"/>
  </si>
  <si>
    <t>금액(원)</t>
    <phoneticPr fontId="2" type="noConversion"/>
  </si>
  <si>
    <t>금액(원)</t>
  </si>
  <si>
    <t>대상기간 수입 합계</t>
    <phoneticPr fontId="2" type="noConversion"/>
  </si>
  <si>
    <t>대상기간 지출 합계</t>
    <phoneticPr fontId="2" type="noConversion"/>
  </si>
  <si>
    <t>대상기간 이전 수입 누적</t>
    <phoneticPr fontId="2" type="noConversion"/>
  </si>
  <si>
    <t>대상기간 이전 지출 누적</t>
    <phoneticPr fontId="2" type="noConversion"/>
  </si>
  <si>
    <t>교회지원금</t>
    <phoneticPr fontId="2" type="noConversion"/>
  </si>
  <si>
    <t>예금이자</t>
    <phoneticPr fontId="2" type="noConversion"/>
  </si>
  <si>
    <t>찬조</t>
    <phoneticPr fontId="2" type="noConversion"/>
  </si>
  <si>
    <t>잡수입</t>
    <phoneticPr fontId="2" type="noConversion"/>
  </si>
  <si>
    <t>수입항목</t>
    <phoneticPr fontId="2" type="noConversion"/>
  </si>
  <si>
    <t>일합계</t>
    <phoneticPr fontId="2" type="noConversion"/>
  </si>
  <si>
    <t>지출내역 합계</t>
    <phoneticPr fontId="2" type="noConversion"/>
  </si>
  <si>
    <t>수입내역 합계</t>
    <phoneticPr fontId="2" type="noConversion"/>
  </si>
  <si>
    <t>회계코드위치</t>
    <phoneticPr fontId="2" type="noConversion"/>
  </si>
  <si>
    <t>헌금/회비</t>
  </si>
  <si>
    <t>전년도이월금</t>
  </si>
  <si>
    <t>부서명:</t>
    <phoneticPr fontId="2" type="noConversion"/>
  </si>
  <si>
    <t>변경일자</t>
    <phoneticPr fontId="2" type="noConversion"/>
  </si>
  <si>
    <t>변경내용</t>
    <phoneticPr fontId="2" type="noConversion"/>
  </si>
  <si>
    <t>(회계코드) 지출 - 관 최대 입력 가능 수 변경 :  12개 ⇒ 15개</t>
    <phoneticPr fontId="2" type="noConversion"/>
  </si>
  <si>
    <t>(회계코드) 지출 - 지출항목 관별 최대 입력 가능 수 변경 : 6개 ⇒ 20개</t>
    <phoneticPr fontId="2" type="noConversion"/>
  </si>
  <si>
    <t>(회계코드) 지출 - 지출항목 총 입력 가능 수 변경 :  28개 ⇒ 37개</t>
    <phoneticPr fontId="2" type="noConversion"/>
  </si>
  <si>
    <t>(회계보고서) 지출항목 최대 37개까지 출력 가능</t>
    <phoneticPr fontId="2" type="noConversion"/>
  </si>
  <si>
    <t>(결의서) 당일자 지출항목 최대 개수 변경 : 17개 ⇒ 33개</t>
    <phoneticPr fontId="2" type="noConversion"/>
  </si>
  <si>
    <t>(결의서) 당일자 수입항목 최대 개수 변경 : 11개 ⇒ 21개</t>
    <phoneticPr fontId="2" type="noConversion"/>
  </si>
  <si>
    <t>(결의서 추가) Sheet 추가 : 당일자 지출항목 17개 또는 수입항목 11개 초과 시 사용</t>
    <phoneticPr fontId="2" type="noConversion"/>
  </si>
  <si>
    <t>변경자</t>
    <phoneticPr fontId="2" type="noConversion"/>
  </si>
  <si>
    <t>도성현</t>
    <phoneticPr fontId="2" type="noConversion"/>
  </si>
  <si>
    <t>비고</t>
    <phoneticPr fontId="2" type="noConversion"/>
  </si>
  <si>
    <t>교회보조금</t>
  </si>
  <si>
    <t>재배정금</t>
  </si>
  <si>
    <t>기타수입</t>
  </si>
  <si>
    <t>교회지원금</t>
  </si>
  <si>
    <t>예금이자</t>
  </si>
  <si>
    <t>찬조</t>
  </si>
  <si>
    <t>잡수입</t>
  </si>
  <si>
    <t>2월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</si>
  <si>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</si>
  <si>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</si>
  <si>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</si>
  <si>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>월정헌금</t>
    <phoneticPr fontId="2" type="noConversion"/>
  </si>
  <si>
    <t>특별헌금</t>
    <phoneticPr fontId="2" type="noConversion"/>
  </si>
  <si>
    <t>기타헌금</t>
    <phoneticPr fontId="2" type="noConversion"/>
  </si>
  <si>
    <t>회비</t>
  </si>
  <si>
    <t>회비</t>
    <phoneticPr fontId="2" type="noConversion"/>
  </si>
  <si>
    <t>간식/식대비</t>
  </si>
  <si>
    <t>여름수련회</t>
  </si>
  <si>
    <t>찬양축제/신년기도회</t>
  </si>
  <si>
    <t>새가족환영회</t>
  </si>
  <si>
    <t>시상/선물</t>
  </si>
  <si>
    <t>심방비</t>
  </si>
  <si>
    <t>한마음체육대회</t>
  </si>
  <si>
    <t>육아부/경비</t>
  </si>
  <si>
    <t>특강/도서구입비</t>
  </si>
  <si>
    <t>요람/현수막제작비</t>
  </si>
  <si>
    <t>기타지출</t>
  </si>
  <si>
    <t>수/토/주일간식</t>
    <phoneticPr fontId="2" type="noConversion"/>
  </si>
  <si>
    <t>임원식사</t>
    <phoneticPr fontId="2" type="noConversion"/>
  </si>
  <si>
    <t>여름수련회</t>
    <phoneticPr fontId="2" type="noConversion"/>
  </si>
  <si>
    <t>찬양축제</t>
    <phoneticPr fontId="2" type="noConversion"/>
  </si>
  <si>
    <t>신년기도회</t>
    <phoneticPr fontId="2" type="noConversion"/>
  </si>
  <si>
    <t>새가족환영회</t>
    <phoneticPr fontId="2" type="noConversion"/>
  </si>
  <si>
    <t>시상/선물</t>
    <phoneticPr fontId="2" type="noConversion"/>
  </si>
  <si>
    <t>병문안</t>
    <phoneticPr fontId="2" type="noConversion"/>
  </si>
  <si>
    <t>경조사비</t>
    <phoneticPr fontId="2" type="noConversion"/>
  </si>
  <si>
    <t>한마음체육대회</t>
    <phoneticPr fontId="2" type="noConversion"/>
  </si>
  <si>
    <t>육아부/경비</t>
    <phoneticPr fontId="2" type="noConversion"/>
  </si>
  <si>
    <t>특강비</t>
    <phoneticPr fontId="2" type="noConversion"/>
  </si>
  <si>
    <t>도서구입비</t>
    <phoneticPr fontId="2" type="noConversion"/>
  </si>
  <si>
    <t>요람제작비</t>
    <phoneticPr fontId="2" type="noConversion"/>
  </si>
  <si>
    <t>현수막제작비</t>
    <phoneticPr fontId="2" type="noConversion"/>
  </si>
  <si>
    <t>잡화구입비</t>
    <phoneticPr fontId="2" type="noConversion"/>
  </si>
  <si>
    <t>비품구입비</t>
    <phoneticPr fontId="2" type="noConversion"/>
  </si>
  <si>
    <t>기타</t>
    <phoneticPr fontId="2" type="noConversion"/>
  </si>
  <si>
    <t>회계년도:</t>
    <phoneticPr fontId="2" type="noConversion"/>
  </si>
  <si>
    <t xml:space="preserve">        년     월     일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</si>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</sst>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yyyy&quot;년&quot;\ m&quot;월&quot;\ d&quot;일&quot;;@"/>
    <numFmt numFmtId="177" formatCode="&quot;₩&quot;#,##0_);[Red]\(&quot;₩&quot;#,##0\)"/>
    <numFmt numFmtId="178" formatCode="#,##0_ ;[Red]\-#,##0\ "/>
    <numFmt numFmtId="179" formatCode="&quot;₩&quot;#,##0"/>
    <numFmt numFmtId="180" formatCode="m&quot;/&quot;d;@"/>
  </numFmts>
  <fonts count="5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2"/>
      <color theme="1"/>
      <name val="HY헤드라인M"/>
      <family val="1"/>
      <charset val="129"/>
    </font>
    <font>
      <sz val="22"/>
      <color theme="1"/>
      <name val="HY헤드라인M"/>
      <family val="1"/>
      <charset val="129"/>
    </font>
    <font>
      <sz val="11"/>
      <color theme="1"/>
      <name val="굴림"/>
      <family val="3"/>
      <charset val="129"/>
    </font>
    <font>
      <sz val="11"/>
      <color theme="0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1"/>
      <color theme="0" tint="-0.34998626667073579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돋움"/>
      <family val="3"/>
      <charset val="129"/>
    </font>
    <font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u/>
      <sz val="24"/>
      <color indexed="8"/>
      <name val="HY견고딕"/>
      <family val="1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8"/>
      <name val="굴림체"/>
      <family val="3"/>
      <charset val="129"/>
    </font>
    <font>
      <sz val="11"/>
      <color indexed="8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HY견명조"/>
      <family val="1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sz val="14"/>
      <color theme="1" tint="0.14999847407452621"/>
      <name val="맑은 고딕"/>
      <family val="3"/>
      <charset val="129"/>
      <scheme val="minor"/>
    </font>
    <font>
      <b/>
      <sz val="11"/>
      <color theme="1" tint="0.14999847407452621"/>
      <name val="맑은 고딕"/>
      <family val="3"/>
      <charset val="129"/>
      <scheme val="minor"/>
    </font>
    <font>
      <sz val="11"/>
      <color theme="1" tint="0.1499984740745262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2"/>
      <color theme="1" tint="0.14999847407452621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thin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rgb="FFFF0000"/>
      </left>
      <right style="thin">
        <color auto="1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FF0000"/>
      </left>
      <right/>
      <top style="thin">
        <color theme="3" tint="0.39994506668294322"/>
      </top>
      <bottom/>
      <diagonal/>
    </border>
    <border>
      <left style="thin">
        <color auto="1"/>
      </left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auto="1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FF0000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medium">
        <color rgb="FF0000FF"/>
      </bottom>
      <diagonal/>
    </border>
    <border>
      <left style="medium">
        <color rgb="FFFF0000"/>
      </left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thin">
        <color auto="1"/>
      </top>
      <bottom/>
      <diagonal/>
    </border>
    <border>
      <left style="medium">
        <color rgb="FF0000FF"/>
      </left>
      <right/>
      <top style="medium">
        <color rgb="FF0000FF"/>
      </top>
      <bottom style="medium">
        <color rgb="FFFF0000"/>
      </bottom>
      <diagonal/>
    </border>
    <border>
      <left style="medium">
        <color rgb="FF0000FF"/>
      </left>
      <right/>
      <top/>
      <bottom style="thin">
        <color auto="1"/>
      </bottom>
      <diagonal/>
    </border>
    <border>
      <left style="medium">
        <color rgb="FF0000FF"/>
      </left>
      <right/>
      <top style="thin">
        <color auto="1"/>
      </top>
      <bottom style="thin">
        <color auto="1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double">
        <color rgb="FFFF0000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42" fontId="11" fillId="0" borderId="0" applyNumberFormat="0" applyFont="0" applyFill="0" applyBorder="0" applyAlignment="0" applyProtection="0">
      <alignment vertical="center"/>
    </xf>
    <xf numFmtId="0" fontId="14" fillId="0" borderId="0">
      <alignment horizontal="center" vertical="center"/>
    </xf>
    <xf numFmtId="0" fontId="14" fillId="0" borderId="0">
      <alignment vertical="center"/>
    </xf>
    <xf numFmtId="0" fontId="14" fillId="0" borderId="41">
      <alignment horizontal="center" vertical="center"/>
    </xf>
    <xf numFmtId="0" fontId="14" fillId="0" borderId="42">
      <alignment horizontal="center" vertical="center"/>
    </xf>
    <xf numFmtId="0" fontId="14" fillId="0" borderId="43">
      <alignment horizontal="center" vertical="center"/>
    </xf>
    <xf numFmtId="0" fontId="14" fillId="0" borderId="44">
      <alignment vertical="center"/>
    </xf>
    <xf numFmtId="0" fontId="14" fillId="0" borderId="43">
      <alignment vertical="center"/>
    </xf>
    <xf numFmtId="0" fontId="13" fillId="0" borderId="0">
      <alignment horizontal="left" vertical="center"/>
    </xf>
    <xf numFmtId="0" fontId="14" fillId="0" borderId="0">
      <alignment horizontal="left" vertical="center"/>
    </xf>
    <xf numFmtId="0" fontId="15" fillId="0" borderId="0">
      <alignment horizontal="center" vertical="center"/>
    </xf>
    <xf numFmtId="0" fontId="14" fillId="0" borderId="45">
      <alignment horizontal="center" vertical="center"/>
    </xf>
    <xf numFmtId="0" fontId="14" fillId="0" borderId="46">
      <alignment horizontal="center" vertical="center"/>
    </xf>
    <xf numFmtId="0" fontId="14" fillId="0" borderId="47">
      <alignment horizontal="center" vertical="center"/>
    </xf>
    <xf numFmtId="0" fontId="14" fillId="0" borderId="48">
      <alignment horizontal="center" vertical="center"/>
    </xf>
    <xf numFmtId="176" fontId="14" fillId="0" borderId="45">
      <alignment horizontal="center" vertical="center"/>
    </xf>
    <xf numFmtId="176" fontId="14" fillId="0" borderId="46">
      <alignment horizontal="center" vertical="center"/>
    </xf>
    <xf numFmtId="176" fontId="14" fillId="0" borderId="48">
      <alignment horizontal="center" vertical="center"/>
    </xf>
    <xf numFmtId="179" fontId="12" fillId="0" borderId="49">
      <alignment horizontal="center" vertical="center"/>
    </xf>
    <xf numFmtId="0" fontId="14" fillId="0" borderId="44">
      <alignment horizontal="center" vertical="center"/>
    </xf>
    <xf numFmtId="0" fontId="14" fillId="0" borderId="50">
      <alignment horizontal="center" vertical="center"/>
    </xf>
    <xf numFmtId="0" fontId="14" fillId="0" borderId="43">
      <alignment horizontal="center" vertical="center"/>
    </xf>
    <xf numFmtId="179" fontId="12" fillId="0" borderId="51">
      <alignment horizontal="center" vertical="center"/>
    </xf>
    <xf numFmtId="0" fontId="12" fillId="0" borderId="49">
      <alignment horizontal="center" vertical="center"/>
    </xf>
    <xf numFmtId="0" fontId="14" fillId="0" borderId="52">
      <alignment horizontal="center" vertical="center"/>
    </xf>
    <xf numFmtId="0" fontId="14" fillId="0" borderId="43">
      <alignment horizontal="left" vertical="center"/>
    </xf>
    <xf numFmtId="179" fontId="14" fillId="0" borderId="52">
      <alignment horizontal="center" vertical="center"/>
    </xf>
    <xf numFmtId="41" fontId="1" fillId="0" borderId="0" applyFont="0" applyFill="0" applyBorder="0" applyAlignment="0" applyProtection="0">
      <alignment vertical="center"/>
    </xf>
    <xf numFmtId="179" fontId="12" fillId="0" borderId="53">
      <alignment horizontal="center" vertical="center"/>
    </xf>
    <xf numFmtId="0" fontId="12" fillId="0" borderId="54">
      <alignment horizontal="center" vertical="center"/>
    </xf>
    <xf numFmtId="179" fontId="12" fillId="0" borderId="54">
      <alignment horizontal="center" vertical="center"/>
    </xf>
    <xf numFmtId="0" fontId="14" fillId="0" borderId="55">
      <alignment horizontal="center" vertical="center"/>
    </xf>
    <xf numFmtId="0" fontId="12" fillId="0" borderId="56">
      <alignment horizontal="center" vertical="center"/>
    </xf>
    <xf numFmtId="0" fontId="14" fillId="0" borderId="57">
      <alignment horizontal="center" vertical="center"/>
    </xf>
    <xf numFmtId="0" fontId="12" fillId="0" borderId="58">
      <alignment horizontal="center" vertical="center"/>
    </xf>
    <xf numFmtId="0" fontId="14" fillId="0" borderId="59">
      <alignment horizontal="center" vertical="center"/>
    </xf>
    <xf numFmtId="0" fontId="12" fillId="0" borderId="51">
      <alignment horizontal="center" vertical="center"/>
    </xf>
    <xf numFmtId="179" fontId="12" fillId="0" borderId="60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right" vertical="center" indent="1"/>
    </xf>
    <xf numFmtId="177" fontId="5" fillId="0" borderId="17" xfId="0" applyNumberFormat="1" applyFont="1" applyBorder="1" applyAlignment="1">
      <alignment horizontal="right" vertical="center" indent="1"/>
    </xf>
    <xf numFmtId="177" fontId="5" fillId="0" borderId="3" xfId="1" applyNumberFormat="1" applyFont="1" applyBorder="1" applyAlignment="1">
      <alignment horizontal="right" vertical="center" indent="1"/>
    </xf>
    <xf numFmtId="177" fontId="5" fillId="0" borderId="8" xfId="0" applyNumberFormat="1" applyFont="1" applyBorder="1" applyAlignment="1">
      <alignment horizontal="right" vertical="center" indent="1"/>
    </xf>
    <xf numFmtId="177" fontId="5" fillId="0" borderId="3" xfId="1" applyNumberFormat="1" applyFont="1" applyBorder="1" applyAlignment="1">
      <alignment horizontal="center" vertical="center"/>
    </xf>
    <xf numFmtId="42" fontId="0" fillId="0" borderId="0" xfId="43" applyFont="1" applyAlignment="1">
      <alignment horizontal="center" vertical="center"/>
    </xf>
    <xf numFmtId="41" fontId="0" fillId="0" borderId="0" xfId="1" applyFont="1">
      <alignment vertical="center"/>
    </xf>
    <xf numFmtId="0" fontId="19" fillId="0" borderId="0" xfId="1" applyNumberFormat="1" applyFont="1" applyFill="1" applyBorder="1" applyAlignment="1" applyProtection="1">
      <alignment vertical="center"/>
    </xf>
    <xf numFmtId="0" fontId="17" fillId="0" borderId="0" xfId="1" applyNumberFormat="1" applyFont="1" applyFill="1" applyBorder="1" applyAlignment="1" applyProtection="1">
      <alignment vertical="center"/>
    </xf>
    <xf numFmtId="0" fontId="26" fillId="0" borderId="0" xfId="1" applyNumberFormat="1" applyFont="1" applyFill="1" applyBorder="1" applyAlignment="1" applyProtection="1">
      <alignment horizontal="center" vertical="center"/>
    </xf>
    <xf numFmtId="0" fontId="27" fillId="0" borderId="0" xfId="1" applyNumberFormat="1" applyFont="1" applyFill="1" applyBorder="1" applyAlignment="1" applyProtection="1">
      <alignment vertical="center"/>
    </xf>
    <xf numFmtId="0" fontId="28" fillId="0" borderId="0" xfId="1" applyNumberFormat="1" applyFont="1" applyFill="1" applyBorder="1" applyAlignment="1" applyProtection="1">
      <alignment horizontal="right"/>
    </xf>
    <xf numFmtId="0" fontId="27" fillId="0" borderId="3" xfId="1" applyNumberFormat="1" applyFont="1" applyFill="1" applyBorder="1" applyAlignment="1" applyProtection="1">
      <alignment horizontal="center" vertical="center"/>
    </xf>
    <xf numFmtId="0" fontId="27" fillId="0" borderId="76" xfId="1" applyNumberFormat="1" applyFont="1" applyFill="1" applyBorder="1" applyAlignment="1" applyProtection="1">
      <alignment horizontal="center" vertical="center"/>
    </xf>
    <xf numFmtId="41" fontId="27" fillId="0" borderId="85" xfId="1" applyNumberFormat="1" applyFont="1" applyFill="1" applyBorder="1" applyAlignment="1" applyProtection="1">
      <alignment horizontal="center" vertical="center"/>
    </xf>
    <xf numFmtId="0" fontId="27" fillId="10" borderId="88" xfId="1" applyNumberFormat="1" applyFont="1" applyFill="1" applyBorder="1" applyAlignment="1" applyProtection="1">
      <alignment horizontal="center" vertical="center"/>
    </xf>
    <xf numFmtId="0" fontId="27" fillId="10" borderId="65" xfId="1" applyNumberFormat="1" applyFont="1" applyFill="1" applyBorder="1" applyAlignment="1" applyProtection="1">
      <alignment horizontal="center" vertical="center"/>
    </xf>
    <xf numFmtId="41" fontId="27" fillId="0" borderId="0" xfId="1" applyFont="1" applyFill="1" applyBorder="1" applyAlignment="1" applyProtection="1">
      <alignment vertical="center"/>
    </xf>
    <xf numFmtId="0" fontId="27" fillId="0" borderId="73" xfId="1" applyNumberFormat="1" applyFont="1" applyFill="1" applyBorder="1" applyAlignment="1" applyProtection="1">
      <alignment vertical="center"/>
    </xf>
    <xf numFmtId="0" fontId="30" fillId="0" borderId="81" xfId="1" applyNumberFormat="1" applyFont="1" applyFill="1" applyBorder="1" applyAlignment="1" applyProtection="1">
      <alignment horizontal="center" vertical="center" shrinkToFit="1"/>
    </xf>
    <xf numFmtId="41" fontId="29" fillId="0" borderId="81" xfId="1" applyNumberFormat="1" applyFont="1" applyFill="1" applyBorder="1" applyAlignment="1" applyProtection="1">
      <alignment vertical="center"/>
    </xf>
    <xf numFmtId="41" fontId="31" fillId="0" borderId="0" xfId="1" applyFont="1" applyFill="1" applyBorder="1" applyAlignment="1" applyProtection="1">
      <alignment vertical="center"/>
    </xf>
    <xf numFmtId="0" fontId="32" fillId="0" borderId="0" xfId="1" applyNumberFormat="1" applyFont="1" applyFill="1" applyBorder="1" applyAlignment="1" applyProtection="1">
      <alignment vertical="center"/>
    </xf>
    <xf numFmtId="0" fontId="33" fillId="0" borderId="0" xfId="1" applyNumberFormat="1" applyFont="1" applyFill="1" applyBorder="1" applyAlignment="1" applyProtection="1">
      <alignment vertical="center"/>
    </xf>
    <xf numFmtId="0" fontId="26" fillId="0" borderId="81" xfId="1" applyNumberFormat="1" applyFont="1" applyFill="1" applyBorder="1" applyAlignment="1" applyProtection="1">
      <alignment horizontal="center" vertical="center"/>
    </xf>
    <xf numFmtId="0" fontId="33" fillId="0" borderId="81" xfId="1" applyNumberFormat="1" applyFont="1" applyFill="1" applyBorder="1" applyAlignment="1" applyProtection="1">
      <alignment horizontal="center" vertical="center"/>
    </xf>
    <xf numFmtId="0" fontId="34" fillId="0" borderId="0" xfId="1" applyNumberFormat="1" applyFont="1" applyFill="1" applyBorder="1" applyAlignment="1" applyProtection="1">
      <alignment vertical="center"/>
    </xf>
    <xf numFmtId="41" fontId="16" fillId="0" borderId="0" xfId="1" applyFont="1" applyFill="1" applyBorder="1" applyAlignment="1" applyProtection="1">
      <alignment vertical="center"/>
    </xf>
    <xf numFmtId="41" fontId="27" fillId="11" borderId="3" xfId="1" applyFont="1" applyFill="1" applyBorder="1" applyAlignment="1" applyProtection="1">
      <alignment vertical="center"/>
    </xf>
    <xf numFmtId="0" fontId="27" fillId="0" borderId="4" xfId="1" applyNumberFormat="1" applyFont="1" applyFill="1" applyBorder="1" applyAlignment="1" applyProtection="1">
      <alignment horizontal="center" vertical="center"/>
    </xf>
    <xf numFmtId="41" fontId="26" fillId="10" borderId="5" xfId="1" applyFont="1" applyFill="1" applyBorder="1" applyAlignment="1" applyProtection="1">
      <alignment vertical="center"/>
    </xf>
    <xf numFmtId="41" fontId="26" fillId="0" borderId="5" xfId="1" applyFont="1" applyFill="1" applyBorder="1" applyAlignment="1" applyProtection="1">
      <alignment vertical="center"/>
    </xf>
    <xf numFmtId="41" fontId="26" fillId="0" borderId="67" xfId="1" applyFont="1" applyFill="1" applyBorder="1" applyAlignment="1" applyProtection="1">
      <alignment vertical="center"/>
    </xf>
    <xf numFmtId="41" fontId="26" fillId="0" borderId="95" xfId="1" applyFont="1" applyFill="1" applyBorder="1" applyAlignment="1" applyProtection="1">
      <alignment vertical="center"/>
    </xf>
    <xf numFmtId="41" fontId="26" fillId="0" borderId="40" xfId="1" applyFont="1" applyFill="1" applyBorder="1" applyAlignment="1" applyProtection="1">
      <alignment vertical="center"/>
    </xf>
    <xf numFmtId="41" fontId="26" fillId="0" borderId="28" xfId="1" applyFont="1" applyFill="1" applyBorder="1" applyAlignment="1" applyProtection="1">
      <alignment vertical="center"/>
    </xf>
    <xf numFmtId="41" fontId="26" fillId="0" borderId="81" xfId="1" applyNumberFormat="1" applyFont="1" applyFill="1" applyBorder="1" applyAlignment="1" applyProtection="1">
      <alignment vertical="center"/>
    </xf>
    <xf numFmtId="41" fontId="0" fillId="0" borderId="3" xfId="1" applyFont="1" applyBorder="1">
      <alignment vertical="center"/>
    </xf>
    <xf numFmtId="0" fontId="43" fillId="7" borderId="3" xfId="0" applyFont="1" applyFill="1" applyBorder="1" applyAlignment="1">
      <alignment horizontal="center" vertical="center"/>
    </xf>
    <xf numFmtId="41" fontId="43" fillId="7" borderId="3" xfId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5" fillId="0" borderId="124" xfId="0" applyNumberFormat="1" applyFont="1" applyBorder="1" applyAlignment="1">
      <alignment horizontal="right" vertical="center" indent="1"/>
    </xf>
    <xf numFmtId="177" fontId="7" fillId="0" borderId="128" xfId="0" applyNumberFormat="1" applyFont="1" applyBorder="1" applyAlignment="1">
      <alignment horizontal="right" vertical="center" indent="1"/>
    </xf>
    <xf numFmtId="0" fontId="5" fillId="0" borderId="132" xfId="0" applyFont="1" applyBorder="1" applyAlignment="1">
      <alignment horizontal="center" vertical="center"/>
    </xf>
    <xf numFmtId="0" fontId="5" fillId="0" borderId="133" xfId="0" applyFont="1" applyBorder="1" applyAlignment="1">
      <alignment horizontal="center" vertical="center"/>
    </xf>
    <xf numFmtId="41" fontId="5" fillId="0" borderId="133" xfId="1" applyFont="1" applyBorder="1" applyAlignment="1">
      <alignment horizontal="center" vertical="center"/>
    </xf>
    <xf numFmtId="0" fontId="5" fillId="0" borderId="134" xfId="0" applyFont="1" applyBorder="1" applyAlignment="1">
      <alignment horizontal="center" vertical="center"/>
    </xf>
    <xf numFmtId="177" fontId="5" fillId="0" borderId="139" xfId="0" applyNumberFormat="1" applyFont="1" applyBorder="1" applyAlignment="1">
      <alignment horizontal="right" vertical="center" indent="1"/>
    </xf>
    <xf numFmtId="0" fontId="5" fillId="0" borderId="140" xfId="0" applyFont="1" applyBorder="1" applyAlignment="1">
      <alignment horizontal="center" vertical="center"/>
    </xf>
    <xf numFmtId="0" fontId="40" fillId="0" borderId="0" xfId="0" applyFont="1" applyAlignment="1" applyProtection="1">
      <alignment horizontal="center" vertical="center"/>
      <protection locked="0"/>
    </xf>
    <xf numFmtId="0" fontId="20" fillId="0" borderId="0" xfId="0" applyFont="1" applyProtection="1">
      <alignment vertical="center"/>
      <protection locked="0"/>
    </xf>
    <xf numFmtId="180" fontId="35" fillId="6" borderId="61" xfId="0" applyNumberFormat="1" applyFont="1" applyFill="1" applyBorder="1" applyAlignment="1" applyProtection="1">
      <alignment horizontal="center" vertical="center"/>
      <protection locked="0"/>
    </xf>
    <xf numFmtId="178" fontId="35" fillId="6" borderId="62" xfId="1" applyNumberFormat="1" applyFont="1" applyFill="1" applyBorder="1" applyAlignment="1" applyProtection="1">
      <alignment vertical="center"/>
      <protection locked="0"/>
    </xf>
    <xf numFmtId="178" fontId="20" fillId="6" borderId="64" xfId="1" applyNumberFormat="1" applyFont="1" applyFill="1" applyBorder="1" applyAlignment="1" applyProtection="1">
      <alignment horizontal="left" vertical="center" shrinkToFit="1"/>
      <protection locked="0"/>
    </xf>
    <xf numFmtId="178" fontId="35" fillId="6" borderId="63" xfId="1" applyNumberFormat="1" applyFont="1" applyFill="1" applyBorder="1" applyAlignment="1" applyProtection="1">
      <alignment vertical="center"/>
    </xf>
    <xf numFmtId="178" fontId="20" fillId="6" borderId="102" xfId="1" applyNumberFormat="1" applyFont="1" applyFill="1" applyBorder="1" applyAlignment="1">
      <alignment horizontal="left" vertical="center" shrinkToFit="1"/>
    </xf>
    <xf numFmtId="178" fontId="39" fillId="3" borderId="100" xfId="1" applyNumberFormat="1" applyFont="1" applyFill="1" applyBorder="1" applyAlignment="1">
      <alignment horizontal="center" vertical="center" shrinkToFit="1"/>
    </xf>
    <xf numFmtId="0" fontId="22" fillId="4" borderId="4" xfId="0" applyFont="1" applyFill="1" applyBorder="1" applyAlignment="1" applyProtection="1">
      <alignment horizontal="center" vertical="center" shrinkToFit="1"/>
      <protection locked="0"/>
    </xf>
    <xf numFmtId="0" fontId="22" fillId="4" borderId="5" xfId="0" applyFont="1" applyFill="1" applyBorder="1" applyAlignment="1" applyProtection="1">
      <alignment horizontal="center" vertical="center" shrinkToFit="1"/>
      <protection locked="0"/>
    </xf>
    <xf numFmtId="0" fontId="22" fillId="4" borderId="6" xfId="0" applyFont="1" applyFill="1" applyBorder="1" applyAlignment="1" applyProtection="1">
      <alignment horizontal="center" vertical="center" shrinkToFit="1"/>
      <protection locked="0"/>
    </xf>
    <xf numFmtId="0" fontId="23" fillId="0" borderId="7" xfId="0" applyFont="1" applyBorder="1" applyAlignment="1" applyProtection="1">
      <alignment horizontal="left" vertical="center" shrinkToFit="1"/>
    </xf>
    <xf numFmtId="0" fontId="21" fillId="0" borderId="8" xfId="0" applyFont="1" applyBorder="1" applyAlignment="1" applyProtection="1">
      <alignment horizontal="left" vertical="center" shrinkToFit="1"/>
    </xf>
    <xf numFmtId="0" fontId="23" fillId="0" borderId="8" xfId="0" applyFont="1" applyBorder="1" applyAlignment="1" applyProtection="1">
      <alignment horizontal="left" vertical="center" shrinkToFit="1"/>
    </xf>
    <xf numFmtId="0" fontId="21" fillId="0" borderId="7" xfId="0" applyFont="1" applyBorder="1" applyAlignment="1" applyProtection="1">
      <alignment horizontal="left" vertical="center" shrinkToFit="1"/>
    </xf>
    <xf numFmtId="0" fontId="21" fillId="0" borderId="9" xfId="0" applyFont="1" applyBorder="1" applyAlignment="1" applyProtection="1">
      <alignment horizontal="left" vertical="center" shrinkToFit="1"/>
    </xf>
    <xf numFmtId="0" fontId="21" fillId="0" borderId="10" xfId="0" applyFont="1" applyBorder="1" applyAlignment="1" applyProtection="1">
      <alignment horizontal="left" vertical="center" shrinkToFit="1"/>
    </xf>
    <xf numFmtId="0" fontId="21" fillId="0" borderId="11" xfId="0" applyFont="1" applyBorder="1" applyAlignment="1" applyProtection="1">
      <alignment horizontal="left" vertical="center" shrinkToFit="1"/>
    </xf>
    <xf numFmtId="0" fontId="23" fillId="0" borderId="7" xfId="0" applyFont="1" applyBorder="1" applyAlignment="1" applyProtection="1">
      <alignment horizontal="center" vertical="center" shrinkToFit="1"/>
      <protection locked="0"/>
    </xf>
    <xf numFmtId="0" fontId="23" fillId="0" borderId="121" xfId="0" applyFont="1" applyBorder="1" applyAlignment="1" applyProtection="1">
      <alignment horizontal="center" vertical="center" shrinkToFit="1"/>
      <protection locked="0"/>
    </xf>
    <xf numFmtId="0" fontId="23" fillId="0" borderId="8" xfId="0" applyFont="1" applyBorder="1" applyAlignment="1" applyProtection="1">
      <alignment horizontal="center" vertical="center" shrinkToFit="1"/>
      <protection locked="0"/>
    </xf>
    <xf numFmtId="0" fontId="23" fillId="0" borderId="0" xfId="0" applyFont="1" applyBorder="1" applyAlignment="1" applyProtection="1">
      <alignment horizontal="left" vertical="center" shrinkToFit="1"/>
    </xf>
    <xf numFmtId="0" fontId="21" fillId="0" borderId="0" xfId="0" applyFont="1" applyAlignment="1" applyProtection="1">
      <alignment horizontal="left" vertical="center" shrinkToFit="1"/>
    </xf>
    <xf numFmtId="0" fontId="21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center" vertical="center"/>
    </xf>
    <xf numFmtId="0" fontId="23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24" fillId="7" borderId="99" xfId="0" applyFont="1" applyFill="1" applyBorder="1" applyAlignment="1" applyProtection="1">
      <alignment horizontal="center" vertical="center" shrinkToFit="1"/>
    </xf>
    <xf numFmtId="0" fontId="21" fillId="0" borderId="0" xfId="0" applyFont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23" fillId="14" borderId="145" xfId="0" applyFont="1" applyFill="1" applyBorder="1" applyAlignment="1" applyProtection="1">
      <alignment horizontal="center" vertical="center" shrinkToFit="1"/>
    </xf>
    <xf numFmtId="0" fontId="23" fillId="0" borderId="0" xfId="0" applyFont="1" applyProtection="1">
      <alignment vertical="center"/>
    </xf>
    <xf numFmtId="0" fontId="23" fillId="0" borderId="0" xfId="0" applyFont="1" applyFill="1" applyBorder="1" applyAlignment="1" applyProtection="1">
      <alignment horizontal="center" vertical="center" shrinkToFit="1"/>
    </xf>
    <xf numFmtId="0" fontId="23" fillId="14" borderId="146" xfId="0" applyFont="1" applyFill="1" applyBorder="1" applyAlignment="1" applyProtection="1">
      <alignment horizontal="center" vertical="center" shrinkToFit="1"/>
    </xf>
    <xf numFmtId="0" fontId="21" fillId="3" borderId="146" xfId="0" applyFont="1" applyFill="1" applyBorder="1" applyAlignment="1" applyProtection="1">
      <alignment horizontal="center" vertical="center" shrinkToFit="1"/>
    </xf>
    <xf numFmtId="0" fontId="22" fillId="0" borderId="0" xfId="0" applyFont="1" applyAlignment="1" applyProtection="1">
      <alignment horizontal="left" vertical="center" shrinkToFit="1"/>
    </xf>
    <xf numFmtId="0" fontId="35" fillId="6" borderId="62" xfId="0" applyFont="1" applyFill="1" applyBorder="1" applyAlignment="1" applyProtection="1">
      <alignment vertical="center" shrinkToFit="1"/>
      <protection locked="0"/>
    </xf>
    <xf numFmtId="0" fontId="45" fillId="0" borderId="0" xfId="0" applyFont="1" applyBorder="1" applyAlignment="1" applyProtection="1">
      <alignment horizontal="center" vertical="center" shrinkToFit="1"/>
    </xf>
    <xf numFmtId="0" fontId="24" fillId="3" borderId="153" xfId="0" applyFont="1" applyFill="1" applyBorder="1" applyAlignment="1" applyProtection="1">
      <alignment horizontal="center" vertical="center" shrinkToFit="1"/>
    </xf>
    <xf numFmtId="0" fontId="24" fillId="0" borderId="154" xfId="0" applyFont="1" applyBorder="1" applyAlignment="1" applyProtection="1">
      <alignment horizontal="center" vertical="center" shrinkToFit="1"/>
    </xf>
    <xf numFmtId="0" fontId="46" fillId="7" borderId="155" xfId="0" applyFont="1" applyFill="1" applyBorder="1" applyAlignment="1" applyProtection="1">
      <alignment horizontal="center" vertical="center" shrinkToFit="1"/>
      <protection locked="0"/>
    </xf>
    <xf numFmtId="0" fontId="20" fillId="0" borderId="0" xfId="0" applyFont="1" applyAlignment="1">
      <alignment horizontal="center" vertical="center"/>
    </xf>
    <xf numFmtId="41" fontId="20" fillId="0" borderId="0" xfId="1" applyFont="1" applyAlignment="1">
      <alignment horizontal="center" vertical="center"/>
    </xf>
    <xf numFmtId="0" fontId="20" fillId="0" borderId="121" xfId="0" applyFont="1" applyBorder="1" applyAlignment="1">
      <alignment horizontal="center" vertical="center"/>
    </xf>
    <xf numFmtId="41" fontId="20" fillId="0" borderId="121" xfId="1" applyFont="1" applyBorder="1" applyAlignment="1">
      <alignment horizontal="center" vertical="center"/>
    </xf>
    <xf numFmtId="0" fontId="20" fillId="0" borderId="158" xfId="0" applyFont="1" applyBorder="1" applyAlignment="1">
      <alignment horizontal="center" vertical="center"/>
    </xf>
    <xf numFmtId="41" fontId="20" fillId="0" borderId="158" xfId="1" applyFont="1" applyBorder="1" applyAlignment="1">
      <alignment horizontal="center" vertical="center"/>
    </xf>
    <xf numFmtId="0" fontId="43" fillId="15" borderId="159" xfId="0" applyFont="1" applyFill="1" applyBorder="1" applyAlignment="1">
      <alignment horizontal="center" vertical="center"/>
    </xf>
    <xf numFmtId="0" fontId="43" fillId="15" borderId="162" xfId="0" applyFont="1" applyFill="1" applyBorder="1" applyAlignment="1">
      <alignment horizontal="center" vertical="center"/>
    </xf>
    <xf numFmtId="0" fontId="20" fillId="0" borderId="157" xfId="0" applyFont="1" applyBorder="1" applyAlignment="1">
      <alignment horizontal="center" vertical="center"/>
    </xf>
    <xf numFmtId="0" fontId="20" fillId="2" borderId="160" xfId="0" applyFont="1" applyFill="1" applyBorder="1" applyAlignment="1">
      <alignment horizontal="center" vertical="center"/>
    </xf>
    <xf numFmtId="0" fontId="20" fillId="2" borderId="161" xfId="0" applyFont="1" applyFill="1" applyBorder="1" applyAlignment="1">
      <alignment horizontal="center" vertical="center"/>
    </xf>
    <xf numFmtId="0" fontId="20" fillId="2" borderId="16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2" borderId="167" xfId="0" applyFont="1" applyFill="1" applyBorder="1" applyAlignment="1">
      <alignment horizontal="center" vertical="center"/>
    </xf>
    <xf numFmtId="0" fontId="20" fillId="2" borderId="168" xfId="0" applyFont="1" applyFill="1" applyBorder="1" applyAlignment="1">
      <alignment horizontal="center" vertical="center"/>
    </xf>
    <xf numFmtId="0" fontId="20" fillId="6" borderId="172" xfId="0" applyFont="1" applyFill="1" applyBorder="1" applyAlignment="1">
      <alignment horizontal="center" vertical="center"/>
    </xf>
    <xf numFmtId="0" fontId="20" fillId="16" borderId="170" xfId="0" applyFont="1" applyFill="1" applyBorder="1" applyAlignment="1">
      <alignment horizontal="center" vertical="center"/>
    </xf>
    <xf numFmtId="0" fontId="20" fillId="16" borderId="171" xfId="0" applyFont="1" applyFill="1" applyBorder="1" applyAlignment="1">
      <alignment horizontal="center" vertical="center"/>
    </xf>
    <xf numFmtId="0" fontId="20" fillId="16" borderId="165" xfId="0" applyFont="1" applyFill="1" applyBorder="1" applyAlignment="1">
      <alignment horizontal="center" vertical="center"/>
    </xf>
    <xf numFmtId="0" fontId="20" fillId="16" borderId="166" xfId="0" applyFont="1" applyFill="1" applyBorder="1" applyAlignment="1">
      <alignment horizontal="center" vertical="center"/>
    </xf>
    <xf numFmtId="0" fontId="20" fillId="14" borderId="169" xfId="0" applyFont="1" applyFill="1" applyBorder="1" applyAlignment="1">
      <alignment horizontal="center" vertical="center"/>
    </xf>
    <xf numFmtId="0" fontId="20" fillId="14" borderId="164" xfId="0" applyFont="1" applyFill="1" applyBorder="1" applyAlignment="1">
      <alignment horizontal="center" vertical="center"/>
    </xf>
    <xf numFmtId="0" fontId="38" fillId="2" borderId="174" xfId="0" applyFont="1" applyFill="1" applyBorder="1" applyAlignment="1">
      <alignment horizontal="center" vertical="center" shrinkToFit="1"/>
    </xf>
    <xf numFmtId="178" fontId="38" fillId="2" borderId="174" xfId="1" applyNumberFormat="1" applyFont="1" applyFill="1" applyBorder="1" applyAlignment="1">
      <alignment horizontal="center" vertical="center"/>
    </xf>
    <xf numFmtId="178" fontId="38" fillId="4" borderId="174" xfId="1" applyNumberFormat="1" applyFont="1" applyFill="1" applyBorder="1" applyAlignment="1">
      <alignment horizontal="center" vertical="center"/>
    </xf>
    <xf numFmtId="0" fontId="35" fillId="6" borderId="175" xfId="0" applyFont="1" applyFill="1" applyBorder="1" applyAlignment="1">
      <alignment vertical="center" shrinkToFit="1"/>
    </xf>
    <xf numFmtId="178" fontId="35" fillId="6" borderId="175" xfId="1" applyNumberFormat="1" applyFont="1" applyFill="1" applyBorder="1" applyAlignment="1">
      <alignment vertical="center"/>
    </xf>
    <xf numFmtId="0" fontId="36" fillId="6" borderId="175" xfId="0" applyFont="1" applyFill="1" applyBorder="1" applyAlignment="1">
      <alignment vertical="center" shrinkToFit="1"/>
    </xf>
    <xf numFmtId="178" fontId="37" fillId="6" borderId="175" xfId="1" applyNumberFormat="1" applyFont="1" applyFill="1" applyBorder="1" applyAlignment="1">
      <alignment vertical="center"/>
    </xf>
    <xf numFmtId="180" fontId="38" fillId="2" borderId="173" xfId="0" applyNumberFormat="1" applyFont="1" applyFill="1" applyBorder="1" applyAlignment="1">
      <alignment horizontal="center" vertical="center"/>
    </xf>
    <xf numFmtId="180" fontId="35" fillId="6" borderId="176" xfId="0" applyNumberFormat="1" applyFont="1" applyFill="1" applyBorder="1" applyAlignment="1">
      <alignment horizontal="center" vertical="center"/>
    </xf>
    <xf numFmtId="0" fontId="20" fillId="0" borderId="0" xfId="0" applyFont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133" xfId="0" applyFont="1" applyBorder="1" applyAlignment="1" applyProtection="1">
      <alignment horizontal="center" vertical="center"/>
    </xf>
    <xf numFmtId="41" fontId="5" fillId="0" borderId="133" xfId="1" applyFont="1" applyBorder="1" applyAlignment="1" applyProtection="1">
      <alignment horizontal="center" vertical="center"/>
    </xf>
    <xf numFmtId="0" fontId="5" fillId="0" borderId="134" xfId="0" applyFont="1" applyBorder="1" applyAlignment="1" applyProtection="1">
      <alignment horizontal="center" vertical="center"/>
    </xf>
    <xf numFmtId="0" fontId="5" fillId="0" borderId="132" xfId="0" applyFont="1" applyBorder="1" applyAlignment="1" applyProtection="1">
      <alignment horizontal="center" vertical="center"/>
    </xf>
    <xf numFmtId="0" fontId="5" fillId="0" borderId="140" xfId="0" applyFont="1" applyBorder="1" applyAlignment="1" applyProtection="1">
      <alignment horizontal="center" vertical="center"/>
    </xf>
    <xf numFmtId="177" fontId="5" fillId="0" borderId="139" xfId="0" applyNumberFormat="1" applyFont="1" applyBorder="1" applyAlignment="1" applyProtection="1">
      <alignment horizontal="right" vertical="center" indent="1"/>
    </xf>
    <xf numFmtId="177" fontId="5" fillId="0" borderId="17" xfId="0" applyNumberFormat="1" applyFont="1" applyBorder="1" applyAlignment="1" applyProtection="1">
      <alignment horizontal="right" vertical="center" indent="1"/>
    </xf>
    <xf numFmtId="41" fontId="20" fillId="0" borderId="0" xfId="1" applyFont="1" applyAlignment="1" applyProtection="1">
      <alignment horizontal="center" vertical="center"/>
    </xf>
    <xf numFmtId="177" fontId="5" fillId="0" borderId="124" xfId="0" applyNumberFormat="1" applyFont="1" applyBorder="1" applyAlignment="1" applyProtection="1">
      <alignment horizontal="right" vertical="center" indent="1"/>
    </xf>
    <xf numFmtId="0" fontId="20" fillId="0" borderId="121" xfId="0" applyFont="1" applyBorder="1" applyAlignment="1" applyProtection="1">
      <alignment horizontal="center" vertical="center"/>
    </xf>
    <xf numFmtId="41" fontId="20" fillId="0" borderId="121" xfId="1" applyFont="1" applyBorder="1" applyAlignment="1" applyProtection="1">
      <alignment horizontal="center" vertical="center"/>
    </xf>
    <xf numFmtId="177" fontId="7" fillId="0" borderId="128" xfId="0" applyNumberFormat="1" applyFont="1" applyBorder="1" applyAlignment="1" applyProtection="1">
      <alignment horizontal="right" vertical="center" indent="1"/>
    </xf>
    <xf numFmtId="0" fontId="20" fillId="0" borderId="158" xfId="0" applyFont="1" applyBorder="1" applyAlignment="1" applyProtection="1">
      <alignment horizontal="center" vertical="center"/>
    </xf>
    <xf numFmtId="41" fontId="20" fillId="0" borderId="158" xfId="1" applyFont="1" applyBorder="1" applyAlignment="1" applyProtection="1">
      <alignment horizontal="center" vertical="center"/>
    </xf>
    <xf numFmtId="0" fontId="20" fillId="0" borderId="157" xfId="0" applyFont="1" applyBorder="1" applyAlignment="1" applyProtection="1">
      <alignment horizontal="center" vertical="center"/>
    </xf>
    <xf numFmtId="0" fontId="43" fillId="15" borderId="159" xfId="0" applyFont="1" applyFill="1" applyBorder="1" applyAlignment="1" applyProtection="1">
      <alignment horizontal="center" vertical="center"/>
    </xf>
    <xf numFmtId="0" fontId="43" fillId="15" borderId="162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177" fontId="5" fillId="0" borderId="3" xfId="1" applyNumberFormat="1" applyFont="1" applyBorder="1" applyAlignment="1" applyProtection="1">
      <alignment horizontal="right" vertical="center" indent="1"/>
    </xf>
    <xf numFmtId="177" fontId="5" fillId="0" borderId="8" xfId="0" applyNumberFormat="1" applyFont="1" applyBorder="1" applyAlignment="1" applyProtection="1">
      <alignment horizontal="right" vertical="center" indent="1"/>
    </xf>
    <xf numFmtId="0" fontId="20" fillId="2" borderId="160" xfId="0" applyFont="1" applyFill="1" applyBorder="1" applyAlignment="1" applyProtection="1">
      <alignment horizontal="center" vertical="center"/>
    </xf>
    <xf numFmtId="0" fontId="20" fillId="2" borderId="161" xfId="0" applyFont="1" applyFill="1" applyBorder="1" applyAlignment="1" applyProtection="1">
      <alignment horizontal="center" vertical="center"/>
    </xf>
    <xf numFmtId="42" fontId="0" fillId="0" borderId="0" xfId="43" applyFont="1" applyAlignment="1" applyProtection="1">
      <alignment horizontal="center" vertical="center"/>
    </xf>
    <xf numFmtId="177" fontId="5" fillId="0" borderId="3" xfId="1" applyNumberFormat="1" applyFont="1" applyBorder="1" applyAlignment="1" applyProtection="1">
      <alignment horizontal="center" vertical="center"/>
    </xf>
    <xf numFmtId="177" fontId="5" fillId="0" borderId="14" xfId="0" applyNumberFormat="1" applyFont="1" applyBorder="1" applyAlignment="1" applyProtection="1">
      <alignment horizontal="right" vertical="center" indent="1"/>
    </xf>
    <xf numFmtId="0" fontId="0" fillId="0" borderId="0" xfId="0" applyAlignment="1" applyProtection="1">
      <alignment horizontal="left" vertical="center"/>
    </xf>
    <xf numFmtId="0" fontId="20" fillId="2" borderId="163" xfId="0" applyFont="1" applyFill="1" applyBorder="1" applyAlignment="1" applyProtection="1">
      <alignment horizontal="center" vertical="center"/>
    </xf>
    <xf numFmtId="0" fontId="20" fillId="2" borderId="167" xfId="0" applyFont="1" applyFill="1" applyBorder="1" applyAlignment="1" applyProtection="1">
      <alignment horizontal="center" vertical="center"/>
    </xf>
    <xf numFmtId="0" fontId="20" fillId="14" borderId="164" xfId="0" applyFont="1" applyFill="1" applyBorder="1" applyAlignment="1" applyProtection="1">
      <alignment horizontal="center" vertical="center"/>
    </xf>
    <xf numFmtId="41" fontId="0" fillId="0" borderId="0" xfId="1" applyFont="1" applyAlignment="1" applyProtection="1">
      <alignment horizontal="center" vertical="center"/>
    </xf>
    <xf numFmtId="0" fontId="20" fillId="2" borderId="168" xfId="0" applyFont="1" applyFill="1" applyBorder="1" applyAlignment="1" applyProtection="1">
      <alignment horizontal="center" vertical="center"/>
    </xf>
    <xf numFmtId="0" fontId="20" fillId="14" borderId="169" xfId="0" applyFont="1" applyFill="1" applyBorder="1" applyAlignment="1" applyProtection="1">
      <alignment horizontal="center" vertical="center"/>
    </xf>
    <xf numFmtId="0" fontId="20" fillId="16" borderId="170" xfId="0" applyFont="1" applyFill="1" applyBorder="1" applyAlignment="1" applyProtection="1">
      <alignment horizontal="center" vertical="center"/>
    </xf>
    <xf numFmtId="0" fontId="20" fillId="16" borderId="171" xfId="0" applyFont="1" applyFill="1" applyBorder="1" applyAlignment="1" applyProtection="1">
      <alignment horizontal="center" vertical="center"/>
    </xf>
    <xf numFmtId="0" fontId="20" fillId="16" borderId="165" xfId="0" applyFont="1" applyFill="1" applyBorder="1" applyAlignment="1" applyProtection="1">
      <alignment horizontal="center" vertical="center"/>
    </xf>
    <xf numFmtId="0" fontId="20" fillId="6" borderId="172" xfId="0" applyFont="1" applyFill="1" applyBorder="1" applyAlignment="1" applyProtection="1">
      <alignment horizontal="center" vertical="center"/>
    </xf>
    <xf numFmtId="0" fontId="20" fillId="16" borderId="166" xfId="0" applyFont="1" applyFill="1" applyBorder="1" applyAlignment="1" applyProtection="1">
      <alignment horizontal="center" vertical="center"/>
    </xf>
    <xf numFmtId="0" fontId="23" fillId="0" borderId="9" xfId="0" applyFont="1" applyBorder="1" applyAlignment="1" applyProtection="1">
      <alignment horizontal="center" vertical="center" shrinkToFit="1"/>
      <protection locked="0"/>
    </xf>
    <xf numFmtId="0" fontId="23" fillId="0" borderId="10" xfId="0" applyFont="1" applyBorder="1" applyAlignment="1" applyProtection="1">
      <alignment horizontal="center" vertical="center" shrinkToFit="1"/>
      <protection locked="0"/>
    </xf>
    <xf numFmtId="0" fontId="23" fillId="0" borderId="11" xfId="0" applyFont="1" applyBorder="1" applyAlignment="1" applyProtection="1">
      <alignment horizontal="center" vertical="center" shrinkToFit="1"/>
      <protection locked="0"/>
    </xf>
    <xf numFmtId="0" fontId="22" fillId="5" borderId="66" xfId="0" applyFont="1" applyFill="1" applyBorder="1" applyAlignment="1" applyProtection="1">
      <alignment horizontal="center" vertical="center" shrinkToFit="1"/>
    </xf>
    <xf numFmtId="0" fontId="22" fillId="5" borderId="91" xfId="0" applyFont="1" applyFill="1" applyBorder="1" applyAlignment="1" applyProtection="1">
      <alignment horizontal="center" vertical="center" shrinkToFit="1"/>
    </xf>
    <xf numFmtId="0" fontId="22" fillId="5" borderId="177" xfId="0" applyFont="1" applyFill="1" applyBorder="1" applyAlignment="1" applyProtection="1">
      <alignment horizontal="center" vertical="center" shrinkToFit="1"/>
    </xf>
    <xf numFmtId="0" fontId="23" fillId="0" borderId="4" xfId="0" applyFont="1" applyBorder="1" applyAlignment="1" applyProtection="1">
      <alignment horizontal="left" vertical="center" shrinkToFit="1"/>
    </xf>
    <xf numFmtId="0" fontId="23" fillId="0" borderId="5" xfId="0" applyFont="1" applyBorder="1" applyAlignment="1" applyProtection="1">
      <alignment horizontal="left" vertical="center" shrinkToFit="1"/>
    </xf>
    <xf numFmtId="0" fontId="21" fillId="0" borderId="5" xfId="0" applyFont="1" applyBorder="1" applyAlignment="1" applyProtection="1">
      <alignment horizontal="left" vertical="center" shrinkToFit="1"/>
    </xf>
    <xf numFmtId="0" fontId="21" fillId="0" borderId="6" xfId="0" applyFont="1" applyBorder="1" applyAlignment="1" applyProtection="1">
      <alignment horizontal="left" vertical="center" shrinkToFit="1"/>
    </xf>
    <xf numFmtId="0" fontId="21" fillId="0" borderId="121" xfId="0" applyFont="1" applyBorder="1" applyAlignment="1" applyProtection="1">
      <alignment horizontal="left" vertical="center" shrinkToFit="1"/>
    </xf>
    <xf numFmtId="0" fontId="23" fillId="0" borderId="121" xfId="0" applyFont="1" applyBorder="1" applyAlignment="1" applyProtection="1">
      <alignment horizontal="left" vertical="center" shrinkToFit="1"/>
    </xf>
    <xf numFmtId="14" fontId="4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 shrinkToFit="1"/>
    </xf>
    <xf numFmtId="0" fontId="42" fillId="0" borderId="0" xfId="0" applyFont="1" applyAlignment="1" applyProtection="1">
      <alignment horizontal="left" vertical="center"/>
    </xf>
    <xf numFmtId="14" fontId="43" fillId="4" borderId="8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 vertical="center"/>
    </xf>
    <xf numFmtId="0" fontId="43" fillId="4" borderId="0" xfId="0" applyFont="1" applyFill="1" applyAlignment="1">
      <alignment horizontal="center" vertical="center"/>
    </xf>
    <xf numFmtId="0" fontId="21" fillId="0" borderId="0" xfId="0" applyFont="1" applyBorder="1" applyAlignment="1" applyProtection="1">
      <alignment horizontal="left" vertical="center" shrinkToFit="1"/>
    </xf>
    <xf numFmtId="0" fontId="52" fillId="0" borderId="0" xfId="0" applyFont="1" applyAlignment="1" applyProtection="1">
      <alignment horizontal="left" vertical="center"/>
    </xf>
    <xf numFmtId="178" fontId="53" fillId="4" borderId="97" xfId="1" applyNumberFormat="1" applyFont="1" applyFill="1" applyBorder="1" applyAlignment="1">
      <alignment horizontal="center" vertical="center"/>
    </xf>
    <xf numFmtId="178" fontId="53" fillId="4" borderId="101" xfId="1" applyNumberFormat="1" applyFont="1" applyFill="1" applyBorder="1" applyAlignment="1">
      <alignment horizontal="center" vertical="center"/>
    </xf>
    <xf numFmtId="178" fontId="53" fillId="3" borderId="101" xfId="1" applyNumberFormat="1" applyFont="1" applyFill="1" applyBorder="1" applyAlignment="1">
      <alignment horizontal="center" vertical="center"/>
    </xf>
    <xf numFmtId="178" fontId="44" fillId="6" borderId="103" xfId="1" applyNumberFormat="1" applyFont="1" applyFill="1" applyBorder="1" applyAlignment="1">
      <alignment horizontal="center" vertical="center"/>
    </xf>
    <xf numFmtId="178" fontId="44" fillId="6" borderId="104" xfId="1" applyNumberFormat="1" applyFont="1" applyFill="1" applyBorder="1" applyAlignment="1">
      <alignment horizontal="center" vertical="center"/>
    </xf>
    <xf numFmtId="178" fontId="44" fillId="6" borderId="98" xfId="1" applyNumberFormat="1" applyFont="1" applyFill="1" applyBorder="1">
      <alignment vertical="center"/>
    </xf>
    <xf numFmtId="178" fontId="44" fillId="6" borderId="104" xfId="1" applyNumberFormat="1" applyFont="1" applyFill="1" applyBorder="1">
      <alignment vertical="center"/>
    </xf>
    <xf numFmtId="178" fontId="44" fillId="6" borderId="105" xfId="1" applyNumberFormat="1" applyFont="1" applyFill="1" applyBorder="1" applyAlignment="1">
      <alignment horizontal="center" vertical="center"/>
    </xf>
    <xf numFmtId="178" fontId="44" fillId="6" borderId="98" xfId="1" applyNumberFormat="1" applyFont="1" applyFill="1" applyBorder="1" applyAlignment="1">
      <alignment horizontal="center" vertical="center"/>
    </xf>
    <xf numFmtId="178" fontId="44" fillId="6" borderId="0" xfId="1" applyNumberFormat="1" applyFont="1" applyFill="1" applyBorder="1" applyAlignment="1" applyProtection="1">
      <alignment horizontal="center" vertical="center"/>
    </xf>
    <xf numFmtId="178" fontId="44" fillId="6" borderId="0" xfId="1" applyNumberFormat="1" applyFont="1" applyFill="1" applyBorder="1" applyProtection="1">
      <alignment vertical="center"/>
      <protection locked="0"/>
    </xf>
    <xf numFmtId="178" fontId="44" fillId="6" borderId="0" xfId="1" applyNumberFormat="1" applyFont="1" applyFill="1" applyBorder="1" applyProtection="1">
      <alignment vertical="center"/>
    </xf>
    <xf numFmtId="41" fontId="27" fillId="10" borderId="90" xfId="1" applyFont="1" applyFill="1" applyBorder="1" applyAlignment="1" applyProtection="1">
      <alignment vertical="center"/>
    </xf>
    <xf numFmtId="41" fontId="27" fillId="10" borderId="40" xfId="1" applyFont="1" applyFill="1" applyBorder="1" applyAlignment="1" applyProtection="1">
      <alignment vertical="center"/>
    </xf>
    <xf numFmtId="0" fontId="27" fillId="0" borderId="37" xfId="1" applyNumberFormat="1" applyFont="1" applyFill="1" applyBorder="1" applyAlignment="1" applyProtection="1">
      <alignment horizontal="center" vertical="center" wrapText="1"/>
    </xf>
    <xf numFmtId="0" fontId="27" fillId="0" borderId="39" xfId="1" applyNumberFormat="1" applyFont="1" applyFill="1" applyBorder="1" applyAlignment="1" applyProtection="1">
      <alignment horizontal="center" vertical="center"/>
    </xf>
    <xf numFmtId="0" fontId="27" fillId="0" borderId="180" xfId="1" applyNumberFormat="1" applyFont="1" applyFill="1" applyBorder="1" applyAlignment="1" applyProtection="1">
      <alignment vertical="center"/>
    </xf>
    <xf numFmtId="0" fontId="27" fillId="0" borderId="121" xfId="1" applyNumberFormat="1" applyFont="1" applyFill="1" applyBorder="1" applyAlignment="1" applyProtection="1">
      <alignment horizontal="center" vertical="center"/>
    </xf>
    <xf numFmtId="41" fontId="27" fillId="9" borderId="121" xfId="1" applyFont="1" applyFill="1" applyBorder="1" applyAlignment="1" applyProtection="1">
      <alignment vertical="center"/>
    </xf>
    <xf numFmtId="41" fontId="27" fillId="10" borderId="158" xfId="1" applyFont="1" applyFill="1" applyBorder="1" applyAlignment="1" applyProtection="1">
      <alignment vertical="center"/>
    </xf>
    <xf numFmtId="14" fontId="0" fillId="0" borderId="0" xfId="0" applyNumberFormat="1" applyProtection="1">
      <alignment vertical="center"/>
    </xf>
    <xf numFmtId="0" fontId="43" fillId="0" borderId="4" xfId="0" applyFont="1" applyBorder="1" applyAlignment="1" applyProtection="1">
      <alignment horizontal="center" vertical="center"/>
    </xf>
    <xf numFmtId="14" fontId="43" fillId="0" borderId="6" xfId="0" applyNumberFormat="1" applyFont="1" applyBorder="1" applyAlignment="1" applyProtection="1">
      <alignment horizontal="center" vertical="center"/>
    </xf>
    <xf numFmtId="0" fontId="43" fillId="0" borderId="7" xfId="0" applyFont="1" applyBorder="1" applyAlignment="1" applyProtection="1">
      <alignment horizontal="center" vertical="center"/>
    </xf>
    <xf numFmtId="0" fontId="20" fillId="0" borderId="0" xfId="0" applyFont="1" applyProtection="1">
      <alignment vertical="center"/>
    </xf>
    <xf numFmtId="0" fontId="43" fillId="0" borderId="9" xfId="0" applyFont="1" applyBorder="1" applyAlignment="1" applyProtection="1">
      <alignment horizontal="center" vertical="center"/>
    </xf>
    <xf numFmtId="0" fontId="43" fillId="12" borderId="107" xfId="0" applyFont="1" applyFill="1" applyBorder="1" applyAlignment="1" applyProtection="1">
      <alignment horizontal="center" vertical="center" wrapText="1"/>
    </xf>
    <xf numFmtId="0" fontId="43" fillId="12" borderId="109" xfId="0" applyFont="1" applyFill="1" applyBorder="1" applyAlignment="1" applyProtection="1">
      <alignment horizontal="center" vertical="center" shrinkToFit="1"/>
    </xf>
    <xf numFmtId="0" fontId="43" fillId="12" borderId="110" xfId="0" applyFont="1" applyFill="1" applyBorder="1" applyAlignment="1" applyProtection="1">
      <alignment horizontal="center" vertical="center" wrapText="1"/>
    </xf>
    <xf numFmtId="14" fontId="20" fillId="0" borderId="0" xfId="0" applyNumberFormat="1" applyFont="1" applyProtection="1">
      <alignment vertical="center"/>
    </xf>
    <xf numFmtId="0" fontId="20" fillId="0" borderId="76" xfId="0" applyFont="1" applyBorder="1" applyAlignment="1" applyProtection="1">
      <alignment horizontal="left" vertical="center" shrinkToFit="1"/>
    </xf>
    <xf numFmtId="41" fontId="20" fillId="0" borderId="33" xfId="1" applyFont="1" applyBorder="1" applyAlignment="1" applyProtection="1">
      <alignment vertical="center" wrapText="1"/>
    </xf>
    <xf numFmtId="0" fontId="20" fillId="0" borderId="150" xfId="0" applyFont="1" applyBorder="1" applyAlignment="1" applyProtection="1">
      <alignment horizontal="center" vertical="center" shrinkToFit="1"/>
    </xf>
    <xf numFmtId="0" fontId="48" fillId="0" borderId="143" xfId="0" applyFont="1" applyBorder="1" applyAlignment="1" applyProtection="1">
      <alignment horizontal="left" vertical="center" shrinkToFit="1"/>
    </xf>
    <xf numFmtId="41" fontId="20" fillId="0" borderId="144" xfId="1" applyFont="1" applyBorder="1" applyAlignment="1" applyProtection="1">
      <alignment vertical="center" wrapText="1"/>
    </xf>
    <xf numFmtId="41" fontId="43" fillId="0" borderId="151" xfId="0" applyNumberFormat="1" applyFont="1" applyBorder="1" applyAlignment="1" applyProtection="1">
      <alignment horizontal="center" vertical="center" wrapText="1"/>
    </xf>
    <xf numFmtId="0" fontId="20" fillId="0" borderId="20" xfId="0" applyFont="1" applyBorder="1" applyAlignment="1" applyProtection="1">
      <alignment horizontal="left" vertical="center" shrinkToFit="1"/>
    </xf>
    <xf numFmtId="0" fontId="20" fillId="0" borderId="148" xfId="0" applyFont="1" applyBorder="1" applyAlignment="1" applyProtection="1">
      <alignment horizontal="center" vertical="center" shrinkToFit="1"/>
    </xf>
    <xf numFmtId="0" fontId="48" fillId="0" borderId="142" xfId="0" applyFont="1" applyBorder="1" applyAlignment="1" applyProtection="1">
      <alignment horizontal="left" vertical="center" shrinkToFit="1"/>
    </xf>
    <xf numFmtId="41" fontId="20" fillId="0" borderId="121" xfId="1" applyFont="1" applyBorder="1" applyAlignment="1" applyProtection="1">
      <alignment vertical="center" wrapText="1"/>
    </xf>
    <xf numFmtId="41" fontId="43" fillId="0" borderId="97" xfId="0" applyNumberFormat="1" applyFont="1" applyBorder="1" applyAlignment="1" applyProtection="1">
      <alignment horizontal="center" vertical="center" wrapText="1"/>
    </xf>
    <xf numFmtId="0" fontId="48" fillId="0" borderId="20" xfId="0" applyFont="1" applyBorder="1" applyAlignment="1" applyProtection="1">
      <alignment horizontal="left" vertical="center" shrinkToFit="1"/>
    </xf>
    <xf numFmtId="0" fontId="20" fillId="0" borderId="23" xfId="0" applyFont="1" applyBorder="1" applyAlignment="1" applyProtection="1">
      <alignment horizontal="left" vertical="center" indent="1" shrinkToFit="1"/>
    </xf>
    <xf numFmtId="0" fontId="20" fillId="0" borderId="3" xfId="0" applyFont="1" applyBorder="1" applyAlignment="1" applyProtection="1">
      <alignment vertical="center" wrapText="1"/>
    </xf>
    <xf numFmtId="0" fontId="20" fillId="0" borderId="142" xfId="0" applyFont="1" applyBorder="1" applyAlignment="1" applyProtection="1">
      <alignment vertical="center" wrapText="1"/>
    </xf>
    <xf numFmtId="0" fontId="20" fillId="0" borderId="21" xfId="0" applyFont="1" applyBorder="1" applyAlignment="1" applyProtection="1">
      <alignment horizontal="left" vertical="center" wrapText="1"/>
    </xf>
    <xf numFmtId="0" fontId="20" fillId="0" borderId="149" xfId="0" applyFont="1" applyBorder="1" applyAlignment="1" applyProtection="1">
      <alignment horizontal="left" vertical="center" indent="1" shrinkToFit="1"/>
    </xf>
    <xf numFmtId="41" fontId="43" fillId="0" borderId="152" xfId="0" applyNumberFormat="1" applyFont="1" applyBorder="1" applyAlignment="1" applyProtection="1">
      <alignment horizontal="center" vertical="center" wrapText="1"/>
    </xf>
    <xf numFmtId="41" fontId="46" fillId="13" borderId="114" xfId="0" applyNumberFormat="1" applyFont="1" applyFill="1" applyBorder="1" applyAlignment="1" applyProtection="1">
      <alignment horizontal="left" vertical="center"/>
    </xf>
    <xf numFmtId="41" fontId="43" fillId="13" borderId="114" xfId="0" applyNumberFormat="1" applyFont="1" applyFill="1" applyBorder="1" applyAlignment="1" applyProtection="1">
      <alignment horizontal="right" vertical="center"/>
    </xf>
    <xf numFmtId="41" fontId="43" fillId="13" borderId="118" xfId="1" applyFont="1" applyFill="1" applyBorder="1" applyAlignment="1" applyProtection="1">
      <alignment vertical="center" wrapText="1"/>
    </xf>
    <xf numFmtId="41" fontId="49" fillId="7" borderId="118" xfId="0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 vertical="center" wrapText="1"/>
    </xf>
    <xf numFmtId="0" fontId="46" fillId="7" borderId="69" xfId="0" applyFont="1" applyFill="1" applyBorder="1" applyAlignment="1" applyProtection="1">
      <alignment horizontal="center" vertical="center" shrinkToFit="1"/>
      <protection locked="0"/>
    </xf>
    <xf numFmtId="41" fontId="0" fillId="11" borderId="79" xfId="0" applyNumberFormat="1" applyFill="1" applyBorder="1" applyProtection="1">
      <alignment vertical="center"/>
    </xf>
    <xf numFmtId="0" fontId="0" fillId="0" borderId="22" xfId="0" applyFill="1" applyBorder="1" applyProtection="1">
      <alignment vertical="center"/>
    </xf>
    <xf numFmtId="0" fontId="44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77" fontId="5" fillId="0" borderId="137" xfId="1" applyNumberFormat="1" applyFont="1" applyBorder="1" applyAlignment="1">
      <alignment horizontal="right" vertical="center" indent="1" shrinkToFit="1"/>
    </xf>
    <xf numFmtId="177" fontId="5" fillId="0" borderId="138" xfId="1" applyNumberFormat="1" applyFont="1" applyBorder="1" applyAlignment="1">
      <alignment horizontal="right" vertical="center" indent="1" shrinkToFit="1"/>
    </xf>
    <xf numFmtId="177" fontId="5" fillId="0" borderId="16" xfId="1" applyNumberFormat="1" applyFont="1" applyBorder="1" applyAlignment="1">
      <alignment horizontal="right" vertical="center" indent="1" shrinkToFit="1"/>
    </xf>
    <xf numFmtId="177" fontId="5" fillId="0" borderId="19" xfId="1" applyNumberFormat="1" applyFont="1" applyBorder="1" applyAlignment="1">
      <alignment horizontal="right" vertical="center" indent="1" shrinkToFit="1"/>
    </xf>
    <xf numFmtId="177" fontId="5" fillId="0" borderId="122" xfId="1" applyNumberFormat="1" applyFont="1" applyBorder="1" applyAlignment="1">
      <alignment horizontal="right" vertical="center" indent="1" shrinkToFit="1"/>
    </xf>
    <xf numFmtId="0" fontId="5" fillId="0" borderId="135" xfId="0" applyFont="1" applyBorder="1" applyAlignment="1">
      <alignment horizontal="left" vertical="center" indent="1" shrinkToFit="1"/>
    </xf>
    <xf numFmtId="0" fontId="5" fillId="0" borderId="136" xfId="0" applyFont="1" applyBorder="1" applyAlignment="1">
      <alignment horizontal="left" vertical="center" indent="1" shrinkToFit="1"/>
    </xf>
    <xf numFmtId="0" fontId="5" fillId="0" borderId="120" xfId="0" applyFont="1" applyBorder="1" applyAlignment="1">
      <alignment horizontal="left" vertical="center" indent="1" shrinkToFit="1"/>
    </xf>
    <xf numFmtId="0" fontId="5" fillId="0" borderId="32" xfId="0" applyFont="1" applyBorder="1" applyAlignment="1">
      <alignment horizontal="left" vertical="center" indent="1" shrinkToFit="1"/>
    </xf>
    <xf numFmtId="176" fontId="5" fillId="0" borderId="5" xfId="0" applyNumberFormat="1" applyFont="1" applyBorder="1" applyAlignment="1" applyProtection="1">
      <alignment horizontal="center" vertical="center"/>
      <protection locked="0"/>
    </xf>
    <xf numFmtId="41" fontId="5" fillId="0" borderId="133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7" fillId="0" borderId="94" xfId="1" applyFont="1" applyBorder="1" applyAlignment="1">
      <alignment horizontal="center" vertical="center"/>
    </xf>
    <xf numFmtId="177" fontId="7" fillId="0" borderId="94" xfId="0" applyNumberFormat="1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177" fontId="5" fillId="0" borderId="3" xfId="1" applyNumberFormat="1" applyFont="1" applyBorder="1" applyAlignment="1">
      <alignment horizontal="right" vertical="center" indent="1"/>
    </xf>
    <xf numFmtId="0" fontId="5" fillId="0" borderId="16" xfId="0" applyFont="1" applyBorder="1" applyAlignment="1">
      <alignment horizontal="left" vertical="center" indent="1" shrinkToFit="1"/>
    </xf>
    <xf numFmtId="0" fontId="5" fillId="0" borderId="123" xfId="0" applyFont="1" applyBorder="1" applyAlignment="1">
      <alignment horizontal="left" vertical="center" indent="1" shrinkToFit="1"/>
    </xf>
    <xf numFmtId="0" fontId="7" fillId="0" borderId="126" xfId="0" applyFont="1" applyBorder="1" applyAlignment="1">
      <alignment horizontal="center" vertical="center"/>
    </xf>
    <xf numFmtId="0" fontId="7" fillId="0" borderId="1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indent="1" shrinkToFit="1"/>
    </xf>
    <xf numFmtId="0" fontId="5" fillId="0" borderId="13" xfId="0" applyFont="1" applyBorder="1" applyAlignment="1">
      <alignment horizontal="left" vertical="center" indent="1" shrinkToFit="1"/>
    </xf>
    <xf numFmtId="0" fontId="5" fillId="0" borderId="15" xfId="0" applyFont="1" applyBorder="1" applyAlignment="1">
      <alignment horizontal="left" vertical="center" indent="1" shrinkToFi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41" fontId="10" fillId="0" borderId="3" xfId="1" applyFont="1" applyBorder="1" applyAlignment="1">
      <alignment horizontal="center" vertical="center"/>
    </xf>
    <xf numFmtId="41" fontId="10" fillId="0" borderId="33" xfId="1" applyFont="1" applyBorder="1" applyAlignment="1">
      <alignment horizontal="center" vertical="center"/>
    </xf>
    <xf numFmtId="177" fontId="5" fillId="0" borderId="20" xfId="1" applyNumberFormat="1" applyFont="1" applyBorder="1" applyAlignment="1">
      <alignment horizontal="right" vertical="center" indent="1"/>
    </xf>
    <xf numFmtId="177" fontId="5" fillId="0" borderId="23" xfId="1" applyNumberFormat="1" applyFont="1" applyBorder="1" applyAlignment="1">
      <alignment horizontal="right" vertical="center" indent="1"/>
    </xf>
    <xf numFmtId="0" fontId="5" fillId="0" borderId="31" xfId="0" applyFont="1" applyBorder="1" applyAlignment="1">
      <alignment horizontal="left" vertical="center" indent="1" shrinkToFit="1"/>
    </xf>
    <xf numFmtId="0" fontId="5" fillId="0" borderId="129" xfId="0" applyFont="1" applyBorder="1" applyAlignment="1">
      <alignment horizontal="left" vertical="center" indent="1" shrinkToFit="1"/>
    </xf>
    <xf numFmtId="0" fontId="5" fillId="0" borderId="130" xfId="0" applyFont="1" applyBorder="1" applyAlignment="1">
      <alignment horizontal="left" vertical="center" indent="1" shrinkToFit="1"/>
    </xf>
    <xf numFmtId="177" fontId="5" fillId="0" borderId="24" xfId="1" applyNumberFormat="1" applyFont="1" applyBorder="1" applyAlignment="1">
      <alignment horizontal="right" vertical="center" indent="1" shrinkToFit="1"/>
    </xf>
    <xf numFmtId="177" fontId="5" fillId="0" borderId="25" xfId="1" applyNumberFormat="1" applyFont="1" applyBorder="1" applyAlignment="1">
      <alignment horizontal="right" vertical="center" indent="1" shrinkToFit="1"/>
    </xf>
    <xf numFmtId="177" fontId="5" fillId="0" borderId="31" xfId="1" applyNumberFormat="1" applyFont="1" applyBorder="1" applyAlignment="1">
      <alignment horizontal="right" vertical="center" indent="1" shrinkToFit="1"/>
    </xf>
    <xf numFmtId="177" fontId="5" fillId="0" borderId="32" xfId="1" applyNumberFormat="1" applyFont="1" applyBorder="1" applyAlignment="1">
      <alignment horizontal="right" vertical="center" indent="1" shrinkToFit="1"/>
    </xf>
    <xf numFmtId="177" fontId="9" fillId="0" borderId="26" xfId="1" applyNumberFormat="1" applyFont="1" applyBorder="1" applyAlignment="1">
      <alignment horizontal="center" vertical="top"/>
    </xf>
    <xf numFmtId="41" fontId="9" fillId="0" borderId="30" xfId="1" applyFont="1" applyBorder="1" applyAlignment="1">
      <alignment horizontal="center" vertical="top"/>
    </xf>
    <xf numFmtId="41" fontId="9" fillId="0" borderId="27" xfId="1" applyFont="1" applyBorder="1" applyAlignment="1">
      <alignment horizontal="center" vertical="top"/>
    </xf>
    <xf numFmtId="41" fontId="9" fillId="0" borderId="28" xfId="1" applyFont="1" applyBorder="1" applyAlignment="1">
      <alignment horizontal="center" vertical="top"/>
    </xf>
    <xf numFmtId="41" fontId="9" fillId="0" borderId="2" xfId="1" applyFont="1" applyBorder="1" applyAlignment="1">
      <alignment horizontal="center" vertical="top"/>
    </xf>
    <xf numFmtId="41" fontId="9" fillId="0" borderId="29" xfId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indent="1" shrinkToFit="1"/>
    </xf>
    <xf numFmtId="0" fontId="5" fillId="0" borderId="19" xfId="0" applyFont="1" applyBorder="1" applyAlignment="1">
      <alignment horizontal="left" vertical="center" indent="1" shrinkToFi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41" fontId="5" fillId="0" borderId="3" xfId="1" applyFont="1" applyBorder="1" applyAlignment="1">
      <alignment horizontal="center" vertical="center"/>
    </xf>
    <xf numFmtId="41" fontId="5" fillId="0" borderId="33" xfId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31" xfId="0" applyFont="1" applyBorder="1" applyAlignment="1">
      <alignment horizontal="center" vertical="center"/>
    </xf>
    <xf numFmtId="177" fontId="9" fillId="0" borderId="26" xfId="0" applyNumberFormat="1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9" fillId="0" borderId="28" xfId="0" applyFont="1" applyBorder="1" applyAlignment="1">
      <alignment horizontal="center" vertical="top"/>
    </xf>
    <xf numFmtId="0" fontId="9" fillId="0" borderId="29" xfId="0" applyFont="1" applyBorder="1" applyAlignment="1">
      <alignment horizontal="center" vertical="top"/>
    </xf>
    <xf numFmtId="0" fontId="5" fillId="0" borderId="18" xfId="0" applyFont="1" applyBorder="1" applyAlignment="1" applyProtection="1">
      <alignment horizontal="left" vertical="center" indent="1" shrinkToFit="1"/>
    </xf>
    <xf numFmtId="0" fontId="5" fillId="0" borderId="19" xfId="0" applyFont="1" applyBorder="1" applyAlignment="1" applyProtection="1">
      <alignment horizontal="left" vertical="center" indent="1" shrinkToFit="1"/>
    </xf>
    <xf numFmtId="177" fontId="5" fillId="0" borderId="19" xfId="1" applyNumberFormat="1" applyFont="1" applyBorder="1" applyAlignment="1" applyProtection="1">
      <alignment horizontal="right" vertical="center" indent="1" shrinkToFit="1"/>
    </xf>
    <xf numFmtId="177" fontId="5" fillId="0" borderId="122" xfId="1" applyNumberFormat="1" applyFont="1" applyBorder="1" applyAlignment="1" applyProtection="1">
      <alignment horizontal="right" vertical="center" indent="1" shrinkToFit="1"/>
    </xf>
    <xf numFmtId="0" fontId="7" fillId="0" borderId="126" xfId="0" applyFont="1" applyBorder="1" applyAlignment="1" applyProtection="1">
      <alignment horizontal="center" vertical="center"/>
    </xf>
    <xf numFmtId="0" fontId="7" fillId="0" borderId="127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41" fontId="5" fillId="0" borderId="3" xfId="1" applyFont="1" applyBorder="1" applyAlignment="1" applyProtection="1">
      <alignment horizontal="center" vertical="center"/>
    </xf>
    <xf numFmtId="41" fontId="5" fillId="0" borderId="33" xfId="1" applyFont="1" applyBorder="1" applyAlignment="1" applyProtection="1">
      <alignment horizontal="center" vertical="center"/>
    </xf>
    <xf numFmtId="0" fontId="5" fillId="0" borderId="33" xfId="0" applyFont="1" applyBorder="1" applyAlignment="1" applyProtection="1">
      <alignment horizontal="center" vertical="center"/>
    </xf>
    <xf numFmtId="0" fontId="5" fillId="0" borderId="131" xfId="0" applyFont="1" applyBorder="1" applyAlignment="1" applyProtection="1">
      <alignment horizontal="center" vertical="center"/>
    </xf>
    <xf numFmtId="177" fontId="9" fillId="0" borderId="26" xfId="0" applyNumberFormat="1" applyFont="1" applyBorder="1" applyAlignment="1" applyProtection="1">
      <alignment horizontal="center" vertical="top"/>
    </xf>
    <xf numFmtId="0" fontId="9" fillId="0" borderId="27" xfId="0" applyFont="1" applyBorder="1" applyAlignment="1" applyProtection="1">
      <alignment horizontal="center" vertical="top"/>
    </xf>
    <xf numFmtId="0" fontId="9" fillId="0" borderId="28" xfId="0" applyFont="1" applyBorder="1" applyAlignment="1" applyProtection="1">
      <alignment horizontal="center" vertical="top"/>
    </xf>
    <xf numFmtId="0" fontId="9" fillId="0" borderId="29" xfId="0" applyFont="1" applyBorder="1" applyAlignment="1" applyProtection="1">
      <alignment horizontal="center" vertical="top"/>
    </xf>
    <xf numFmtId="177" fontId="9" fillId="0" borderId="26" xfId="1" applyNumberFormat="1" applyFont="1" applyBorder="1" applyAlignment="1" applyProtection="1">
      <alignment horizontal="center" vertical="top"/>
    </xf>
    <xf numFmtId="41" fontId="9" fillId="0" borderId="30" xfId="1" applyFont="1" applyBorder="1" applyAlignment="1" applyProtection="1">
      <alignment horizontal="center" vertical="top"/>
    </xf>
    <xf numFmtId="41" fontId="9" fillId="0" borderId="27" xfId="1" applyFont="1" applyBorder="1" applyAlignment="1" applyProtection="1">
      <alignment horizontal="center" vertical="top"/>
    </xf>
    <xf numFmtId="41" fontId="9" fillId="0" borderId="28" xfId="1" applyFont="1" applyBorder="1" applyAlignment="1" applyProtection="1">
      <alignment horizontal="center" vertical="top"/>
    </xf>
    <xf numFmtId="41" fontId="9" fillId="0" borderId="2" xfId="1" applyFont="1" applyBorder="1" applyAlignment="1" applyProtection="1">
      <alignment horizontal="center" vertical="top"/>
    </xf>
    <xf numFmtId="41" fontId="9" fillId="0" borderId="29" xfId="1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left" vertical="center" indent="1" shrinkToFit="1"/>
    </xf>
    <xf numFmtId="0" fontId="5" fillId="0" borderId="13" xfId="0" applyFont="1" applyBorder="1" applyAlignment="1" applyProtection="1">
      <alignment horizontal="left" vertical="center" indent="1" shrinkToFit="1"/>
    </xf>
    <xf numFmtId="177" fontId="5" fillId="0" borderId="24" xfId="1" applyNumberFormat="1" applyFont="1" applyBorder="1" applyAlignment="1" applyProtection="1">
      <alignment horizontal="right" vertical="center" indent="1" shrinkToFit="1"/>
    </xf>
    <xf numFmtId="177" fontId="5" fillId="0" borderId="25" xfId="1" applyNumberFormat="1" applyFont="1" applyBorder="1" applyAlignment="1" applyProtection="1">
      <alignment horizontal="right" vertical="center" indent="1" shrinkToFit="1"/>
    </xf>
    <xf numFmtId="0" fontId="5" fillId="0" borderId="15" xfId="0" applyFont="1" applyBorder="1" applyAlignment="1" applyProtection="1">
      <alignment horizontal="left" vertical="center" indent="1" shrinkToFit="1"/>
    </xf>
    <xf numFmtId="0" fontId="5" fillId="0" borderId="16" xfId="0" applyFont="1" applyBorder="1" applyAlignment="1" applyProtection="1">
      <alignment horizontal="left" vertical="center" indent="1" shrinkToFit="1"/>
    </xf>
    <xf numFmtId="177" fontId="5" fillId="0" borderId="31" xfId="1" applyNumberFormat="1" applyFont="1" applyBorder="1" applyAlignment="1" applyProtection="1">
      <alignment horizontal="right" vertical="center" indent="1" shrinkToFit="1"/>
    </xf>
    <xf numFmtId="177" fontId="5" fillId="0" borderId="32" xfId="1" applyNumberFormat="1" applyFont="1" applyBorder="1" applyAlignment="1" applyProtection="1">
      <alignment horizontal="right" vertical="center" indent="1" shrinkToFit="1"/>
    </xf>
    <xf numFmtId="0" fontId="5" fillId="0" borderId="129" xfId="0" applyFont="1" applyBorder="1" applyAlignment="1" applyProtection="1">
      <alignment horizontal="left" vertical="center" indent="1" shrinkToFit="1"/>
    </xf>
    <xf numFmtId="0" fontId="5" fillId="0" borderId="130" xfId="0" applyFont="1" applyBorder="1" applyAlignment="1" applyProtection="1">
      <alignment horizontal="left" vertical="center" indent="1" shrinkToFit="1"/>
    </xf>
    <xf numFmtId="0" fontId="5" fillId="0" borderId="31" xfId="0" applyFont="1" applyBorder="1" applyAlignment="1" applyProtection="1">
      <alignment horizontal="left" vertical="center" indent="1" shrinkToFit="1"/>
    </xf>
    <xf numFmtId="0" fontId="5" fillId="0" borderId="32" xfId="0" applyFont="1" applyBorder="1" applyAlignment="1" applyProtection="1">
      <alignment horizontal="left" vertical="center" indent="1" shrinkToFit="1"/>
    </xf>
    <xf numFmtId="41" fontId="10" fillId="0" borderId="3" xfId="1" applyFont="1" applyBorder="1" applyAlignment="1" applyProtection="1">
      <alignment horizontal="center" vertical="center"/>
    </xf>
    <xf numFmtId="41" fontId="10" fillId="0" borderId="33" xfId="1" applyFont="1" applyBorder="1" applyAlignment="1" applyProtection="1">
      <alignment horizontal="center" vertical="center"/>
    </xf>
    <xf numFmtId="0" fontId="5" fillId="0" borderId="76" xfId="0" applyFont="1" applyBorder="1" applyAlignment="1" applyProtection="1">
      <alignment horizontal="center" vertical="center" shrinkToFit="1"/>
    </xf>
    <xf numFmtId="0" fontId="5" fillId="0" borderId="125" xfId="0" applyFont="1" applyBorder="1" applyAlignment="1" applyProtection="1">
      <alignment horizontal="center" vertical="center" shrinkToFit="1"/>
    </xf>
    <xf numFmtId="177" fontId="5" fillId="0" borderId="3" xfId="1" applyNumberFormat="1" applyFont="1" applyBorder="1" applyAlignment="1" applyProtection="1">
      <alignment horizontal="right" vertical="center" indent="1"/>
    </xf>
    <xf numFmtId="177" fontId="5" fillId="0" borderId="20" xfId="1" applyNumberFormat="1" applyFont="1" applyBorder="1" applyAlignment="1" applyProtection="1">
      <alignment horizontal="right" vertical="center" indent="1"/>
    </xf>
    <xf numFmtId="177" fontId="5" fillId="0" borderId="23" xfId="1" applyNumberFormat="1" applyFont="1" applyBorder="1" applyAlignment="1" applyProtection="1">
      <alignment horizontal="right" vertical="center" indent="1"/>
    </xf>
    <xf numFmtId="0" fontId="5" fillId="0" borderId="3" xfId="0" applyFont="1" applyBorder="1" applyAlignment="1" applyProtection="1">
      <alignment horizontal="right" vertical="center"/>
    </xf>
    <xf numFmtId="0" fontId="5" fillId="0" borderId="8" xfId="0" applyFont="1" applyBorder="1" applyAlignment="1" applyProtection="1">
      <alignment horizontal="right" vertical="center"/>
    </xf>
    <xf numFmtId="0" fontId="5" fillId="0" borderId="120" xfId="0" applyFont="1" applyBorder="1" applyAlignment="1" applyProtection="1">
      <alignment horizontal="left" vertical="center" indent="1" shrinkToFit="1"/>
    </xf>
    <xf numFmtId="177" fontId="5" fillId="0" borderId="16" xfId="1" applyNumberFormat="1" applyFont="1" applyBorder="1" applyAlignment="1" applyProtection="1">
      <alignment horizontal="right" vertical="center" indent="1" shrinkToFit="1"/>
    </xf>
    <xf numFmtId="0" fontId="5" fillId="0" borderId="123" xfId="0" applyFont="1" applyBorder="1" applyAlignment="1" applyProtection="1">
      <alignment horizontal="left" vertical="center" indent="1" shrinkToFit="1"/>
    </xf>
    <xf numFmtId="0" fontId="5" fillId="0" borderId="135" xfId="0" applyFont="1" applyBorder="1" applyAlignment="1" applyProtection="1">
      <alignment horizontal="left" vertical="center" indent="1" shrinkToFit="1"/>
    </xf>
    <xf numFmtId="0" fontId="5" fillId="0" borderId="136" xfId="0" applyFont="1" applyBorder="1" applyAlignment="1" applyProtection="1">
      <alignment horizontal="left" vertical="center" indent="1" shrinkToFit="1"/>
    </xf>
    <xf numFmtId="177" fontId="5" fillId="0" borderId="137" xfId="1" applyNumberFormat="1" applyFont="1" applyBorder="1" applyAlignment="1" applyProtection="1">
      <alignment horizontal="right" vertical="center" indent="1" shrinkToFit="1"/>
    </xf>
    <xf numFmtId="177" fontId="5" fillId="0" borderId="138" xfId="1" applyNumberFormat="1" applyFont="1" applyBorder="1" applyAlignment="1" applyProtection="1">
      <alignment horizontal="right" vertical="center" indent="1" shrinkToFit="1"/>
    </xf>
    <xf numFmtId="41" fontId="7" fillId="0" borderId="94" xfId="1" applyFont="1" applyBorder="1" applyAlignment="1" applyProtection="1">
      <alignment horizontal="center" vertical="center"/>
    </xf>
    <xf numFmtId="177" fontId="7" fillId="0" borderId="94" xfId="0" applyNumberFormat="1" applyFont="1" applyBorder="1" applyAlignment="1" applyProtection="1">
      <alignment horizontal="center" vertical="center"/>
    </xf>
    <xf numFmtId="0" fontId="7" fillId="0" borderId="69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4" fillId="0" borderId="2" xfId="0" applyFont="1" applyBorder="1" applyAlignment="1" applyProtection="1">
      <alignment horizontal="center" vertical="center"/>
    </xf>
    <xf numFmtId="176" fontId="5" fillId="0" borderId="5" xfId="0" applyNumberFormat="1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41" fontId="5" fillId="0" borderId="133" xfId="1" applyFont="1" applyBorder="1" applyAlignment="1" applyProtection="1">
      <alignment horizontal="center" vertical="center"/>
    </xf>
    <xf numFmtId="41" fontId="43" fillId="7" borderId="3" xfId="1" applyFont="1" applyFill="1" applyBorder="1" applyAlignment="1">
      <alignment horizontal="center" vertical="center"/>
    </xf>
    <xf numFmtId="0" fontId="41" fillId="0" borderId="0" xfId="0" applyFont="1" applyAlignment="1" applyProtection="1">
      <alignment horizontal="center" vertical="center" wrapText="1"/>
    </xf>
    <xf numFmtId="0" fontId="51" fillId="0" borderId="0" xfId="0" applyFont="1" applyAlignment="1" applyProtection="1">
      <alignment horizontal="center" vertical="center" wrapText="1"/>
    </xf>
    <xf numFmtId="0" fontId="43" fillId="12" borderId="68" xfId="0" applyFont="1" applyFill="1" applyBorder="1" applyAlignment="1" applyProtection="1">
      <alignment horizontal="center" vertical="center" wrapText="1"/>
    </xf>
    <xf numFmtId="0" fontId="43" fillId="12" borderId="5" xfId="0" applyFont="1" applyFill="1" applyBorder="1" applyAlignment="1" applyProtection="1">
      <alignment horizontal="center" vertical="center" wrapText="1"/>
    </xf>
    <xf numFmtId="0" fontId="43" fillId="12" borderId="67" xfId="0" applyFont="1" applyFill="1" applyBorder="1" applyAlignment="1" applyProtection="1">
      <alignment horizontal="center" vertical="center" wrapText="1"/>
    </xf>
    <xf numFmtId="0" fontId="43" fillId="12" borderId="106" xfId="0" applyFont="1" applyFill="1" applyBorder="1" applyAlignment="1" applyProtection="1">
      <alignment horizontal="center" vertical="center" wrapText="1"/>
    </xf>
    <xf numFmtId="0" fontId="43" fillId="12" borderId="108" xfId="0" applyFont="1" applyFill="1" applyBorder="1" applyAlignment="1" applyProtection="1">
      <alignment horizontal="center" vertical="center" wrapText="1"/>
    </xf>
    <xf numFmtId="0" fontId="43" fillId="12" borderId="109" xfId="0" applyFont="1" applyFill="1" applyBorder="1" applyAlignment="1" applyProtection="1">
      <alignment horizontal="center" vertical="center" wrapText="1"/>
    </xf>
    <xf numFmtId="0" fontId="43" fillId="0" borderId="2" xfId="0" applyFont="1" applyBorder="1" applyAlignment="1" applyProtection="1">
      <alignment horizontal="left" vertical="center" wrapText="1" indent="1"/>
    </xf>
    <xf numFmtId="0" fontId="20" fillId="0" borderId="115" xfId="0" applyFont="1" applyBorder="1" applyAlignment="1" applyProtection="1">
      <alignment horizontal="center" vertical="center"/>
    </xf>
    <xf numFmtId="0" fontId="20" fillId="0" borderId="112" xfId="0" applyFont="1" applyBorder="1" applyAlignment="1" applyProtection="1">
      <alignment horizontal="center" vertical="center"/>
    </xf>
    <xf numFmtId="0" fontId="20" fillId="0" borderId="113" xfId="0" applyFont="1" applyBorder="1" applyAlignment="1" applyProtection="1">
      <alignment horizontal="center" vertical="center"/>
    </xf>
    <xf numFmtId="0" fontId="20" fillId="0" borderId="116" xfId="0" applyFont="1" applyBorder="1" applyAlignment="1" applyProtection="1">
      <alignment horizontal="center" vertical="center" shrinkToFit="1"/>
    </xf>
    <xf numFmtId="0" fontId="20" fillId="0" borderId="117" xfId="0" applyFont="1" applyBorder="1" applyAlignment="1" applyProtection="1">
      <alignment horizontal="center" vertical="center" shrinkToFit="1"/>
    </xf>
    <xf numFmtId="0" fontId="20" fillId="0" borderId="119" xfId="0" applyFont="1" applyBorder="1" applyAlignment="1" applyProtection="1">
      <alignment horizontal="center" vertical="center"/>
    </xf>
    <xf numFmtId="0" fontId="20" fillId="0" borderId="116" xfId="0" applyFont="1" applyBorder="1" applyAlignment="1" applyProtection="1">
      <alignment horizontal="center" vertical="center"/>
    </xf>
    <xf numFmtId="0" fontId="20" fillId="0" borderId="117" xfId="0" applyFont="1" applyBorder="1" applyAlignment="1" applyProtection="1">
      <alignment horizontal="center" vertical="center"/>
    </xf>
    <xf numFmtId="0" fontId="48" fillId="0" borderId="112" xfId="0" applyFont="1" applyBorder="1" applyAlignment="1" applyProtection="1">
      <alignment horizontal="center" vertical="center"/>
    </xf>
    <xf numFmtId="0" fontId="48" fillId="0" borderId="113" xfId="0" applyFont="1" applyBorder="1" applyAlignment="1" applyProtection="1">
      <alignment horizontal="center" vertical="center"/>
    </xf>
    <xf numFmtId="0" fontId="20" fillId="0" borderId="82" xfId="0" applyFont="1" applyBorder="1" applyAlignment="1" applyProtection="1">
      <alignment horizontal="left" vertical="center" indent="1" shrinkToFit="1"/>
    </xf>
    <xf numFmtId="0" fontId="20" fillId="0" borderId="23" xfId="0" applyFont="1" applyBorder="1" applyAlignment="1" applyProtection="1">
      <alignment horizontal="left" vertical="center" indent="1" shrinkToFit="1"/>
    </xf>
    <xf numFmtId="41" fontId="43" fillId="0" borderId="76" xfId="1" applyFont="1" applyBorder="1" applyAlignment="1" applyProtection="1">
      <alignment horizontal="center" vertical="center" wrapText="1"/>
    </xf>
    <xf numFmtId="41" fontId="43" fillId="0" borderId="142" xfId="1" applyFont="1" applyBorder="1" applyAlignment="1" applyProtection="1">
      <alignment horizontal="center" vertical="center" wrapText="1"/>
    </xf>
    <xf numFmtId="0" fontId="20" fillId="0" borderId="141" xfId="0" applyFont="1" applyBorder="1" applyAlignment="1" applyProtection="1">
      <alignment horizontal="center" vertical="center" shrinkToFit="1"/>
    </xf>
    <xf numFmtId="0" fontId="20" fillId="0" borderId="111" xfId="0" applyFont="1" applyBorder="1" applyAlignment="1" applyProtection="1">
      <alignment horizontal="center" vertical="center" shrinkToFit="1"/>
    </xf>
    <xf numFmtId="0" fontId="20" fillId="0" borderId="82" xfId="0" applyFont="1" applyBorder="1" applyAlignment="1" applyProtection="1">
      <alignment horizontal="center" vertical="center" shrinkToFit="1"/>
    </xf>
    <xf numFmtId="41" fontId="43" fillId="0" borderId="26" xfId="1" applyFont="1" applyBorder="1" applyAlignment="1" applyProtection="1">
      <alignment horizontal="center" vertical="center" wrapText="1"/>
    </xf>
    <xf numFmtId="41" fontId="43" fillId="0" borderId="97" xfId="1" applyFont="1" applyBorder="1" applyAlignment="1" applyProtection="1">
      <alignment horizontal="center" vertical="center" wrapText="1"/>
    </xf>
    <xf numFmtId="0" fontId="27" fillId="0" borderId="86" xfId="1" applyNumberFormat="1" applyFont="1" applyFill="1" applyBorder="1" applyAlignment="1" applyProtection="1">
      <alignment horizontal="center" vertical="center"/>
    </xf>
    <xf numFmtId="0" fontId="27" fillId="0" borderId="173" xfId="1" applyNumberFormat="1" applyFont="1" applyFill="1" applyBorder="1" applyAlignment="1" applyProtection="1">
      <alignment horizontal="center" vertical="center"/>
    </xf>
    <xf numFmtId="0" fontId="27" fillId="0" borderId="141" xfId="1" applyNumberFormat="1" applyFont="1" applyFill="1" applyBorder="1" applyAlignment="1" applyProtection="1">
      <alignment horizontal="center" vertical="center"/>
    </xf>
    <xf numFmtId="0" fontId="27" fillId="0" borderId="88" xfId="1" applyNumberFormat="1" applyFont="1" applyFill="1" applyBorder="1" applyAlignment="1" applyProtection="1">
      <alignment horizontal="center" vertical="center"/>
    </xf>
    <xf numFmtId="0" fontId="27" fillId="0" borderId="65" xfId="1" applyNumberFormat="1" applyFont="1" applyFill="1" applyBorder="1" applyAlignment="1" applyProtection="1">
      <alignment horizontal="center" vertical="center"/>
    </xf>
    <xf numFmtId="0" fontId="27" fillId="0" borderId="82" xfId="1" applyNumberFormat="1" applyFont="1" applyFill="1" applyBorder="1" applyAlignment="1" applyProtection="1">
      <alignment horizontal="center" vertical="center"/>
    </xf>
    <xf numFmtId="0" fontId="27" fillId="0" borderId="72" xfId="1" applyNumberFormat="1" applyFont="1" applyFill="1" applyBorder="1" applyAlignment="1" applyProtection="1">
      <alignment horizontal="center" vertical="center" wrapText="1"/>
    </xf>
    <xf numFmtId="0" fontId="27" fillId="0" borderId="87" xfId="1" applyNumberFormat="1" applyFont="1" applyFill="1" applyBorder="1" applyAlignment="1" applyProtection="1">
      <alignment horizontal="center" vertical="center" wrapText="1"/>
    </xf>
    <xf numFmtId="0" fontId="27" fillId="10" borderId="157" xfId="1" applyNumberFormat="1" applyFont="1" applyFill="1" applyBorder="1" applyAlignment="1" applyProtection="1">
      <alignment horizontal="center" vertical="center"/>
    </xf>
    <xf numFmtId="0" fontId="27" fillId="10" borderId="21" xfId="1" applyNumberFormat="1" applyFont="1" applyFill="1" applyBorder="1" applyAlignment="1" applyProtection="1">
      <alignment horizontal="center" vertical="center"/>
    </xf>
    <xf numFmtId="0" fontId="27" fillId="10" borderId="22" xfId="1" applyNumberFormat="1" applyFont="1" applyFill="1" applyBorder="1" applyAlignment="1" applyProtection="1">
      <alignment horizontal="center" vertical="center"/>
    </xf>
    <xf numFmtId="0" fontId="25" fillId="0" borderId="0" xfId="1" applyNumberFormat="1" applyFont="1" applyFill="1" applyBorder="1" applyAlignment="1" applyProtection="1">
      <alignment horizontal="center" vertical="center"/>
    </xf>
    <xf numFmtId="0" fontId="26" fillId="8" borderId="2" xfId="1" applyNumberFormat="1" applyFont="1" applyFill="1" applyBorder="1" applyAlignment="1" applyProtection="1">
      <alignment vertical="center" shrinkToFit="1"/>
    </xf>
    <xf numFmtId="0" fontId="50" fillId="0" borderId="2" xfId="1" applyNumberFormat="1" applyFont="1" applyFill="1" applyBorder="1" applyAlignment="1" applyProtection="1">
      <alignment horizontal="center" vertical="center"/>
    </xf>
    <xf numFmtId="0" fontId="27" fillId="0" borderId="66" xfId="1" applyNumberFormat="1" applyFont="1" applyFill="1" applyBorder="1" applyAlignment="1" applyProtection="1">
      <alignment horizontal="center" vertical="center" wrapText="1"/>
    </xf>
    <xf numFmtId="0" fontId="27" fillId="0" borderId="37" xfId="1" applyNumberFormat="1" applyFont="1" applyFill="1" applyBorder="1" applyAlignment="1" applyProtection="1">
      <alignment horizontal="center" vertical="center" wrapText="1"/>
    </xf>
    <xf numFmtId="0" fontId="27" fillId="0" borderId="38" xfId="1" applyNumberFormat="1" applyFont="1" applyFill="1" applyBorder="1" applyAlignment="1" applyProtection="1">
      <alignment horizontal="center" vertical="center" wrapText="1"/>
    </xf>
    <xf numFmtId="0" fontId="26" fillId="0" borderId="67" xfId="1" applyNumberFormat="1" applyFont="1" applyFill="1" applyBorder="1" applyAlignment="1" applyProtection="1">
      <alignment horizontal="center" vertical="center"/>
    </xf>
    <xf numFmtId="0" fontId="26" fillId="0" borderId="1" xfId="1" applyNumberFormat="1" applyFont="1" applyFill="1" applyBorder="1" applyAlignment="1" applyProtection="1">
      <alignment horizontal="center" vertical="center"/>
    </xf>
    <xf numFmtId="0" fontId="26" fillId="0" borderId="83" xfId="1" applyNumberFormat="1" applyFont="1" applyFill="1" applyBorder="1" applyAlignment="1" applyProtection="1">
      <alignment horizontal="center" vertical="center"/>
    </xf>
    <xf numFmtId="0" fontId="26" fillId="0" borderId="70" xfId="1" applyNumberFormat="1" applyFont="1" applyFill="1" applyBorder="1" applyAlignment="1" applyProtection="1">
      <alignment horizontal="center" vertical="center"/>
    </xf>
    <xf numFmtId="0" fontId="26" fillId="0" borderId="35" xfId="1" applyNumberFormat="1" applyFont="1" applyFill="1" applyBorder="1" applyAlignment="1" applyProtection="1">
      <alignment horizontal="center" vertical="center"/>
    </xf>
    <xf numFmtId="0" fontId="26" fillId="0" borderId="84" xfId="1" applyNumberFormat="1" applyFont="1" applyFill="1" applyBorder="1" applyAlignment="1" applyProtection="1">
      <alignment horizontal="center" vertical="center"/>
    </xf>
    <xf numFmtId="0" fontId="27" fillId="0" borderId="71" xfId="1" applyNumberFormat="1" applyFont="1" applyFill="1" applyBorder="1" applyAlignment="1" applyProtection="1">
      <alignment horizontal="center" vertical="center"/>
    </xf>
    <xf numFmtId="0" fontId="27" fillId="0" borderId="73" xfId="1" applyNumberFormat="1" applyFont="1" applyFill="1" applyBorder="1" applyAlignment="1" applyProtection="1">
      <alignment horizontal="center" vertical="center"/>
    </xf>
    <xf numFmtId="0" fontId="27" fillId="0" borderId="78" xfId="1" applyNumberFormat="1" applyFont="1" applyFill="1" applyBorder="1" applyAlignment="1" applyProtection="1">
      <alignment horizontal="center" vertical="center"/>
    </xf>
    <xf numFmtId="0" fontId="27" fillId="0" borderId="158" xfId="1" applyNumberFormat="1" applyFont="1" applyFill="1" applyBorder="1" applyAlignment="1" applyProtection="1">
      <alignment horizontal="center" vertical="center"/>
    </xf>
    <xf numFmtId="0" fontId="27" fillId="0" borderId="33" xfId="1" applyNumberFormat="1" applyFont="1" applyFill="1" applyBorder="1" applyAlignment="1" applyProtection="1">
      <alignment horizontal="center" vertical="center"/>
    </xf>
    <xf numFmtId="0" fontId="27" fillId="0" borderId="26" xfId="1" applyNumberFormat="1" applyFont="1" applyFill="1" applyBorder="1" applyAlignment="1" applyProtection="1">
      <alignment horizontal="center" vertical="center"/>
    </xf>
    <xf numFmtId="0" fontId="27" fillId="0" borderId="85" xfId="1" applyNumberFormat="1" applyFont="1" applyFill="1" applyBorder="1" applyAlignment="1" applyProtection="1">
      <alignment horizontal="center" vertical="center"/>
    </xf>
    <xf numFmtId="0" fontId="27" fillId="0" borderId="87" xfId="1" applyNumberFormat="1" applyFont="1" applyFill="1" applyBorder="1" applyAlignment="1" applyProtection="1">
      <alignment horizontal="center" vertical="center"/>
    </xf>
    <xf numFmtId="0" fontId="27" fillId="0" borderId="66" xfId="1" applyNumberFormat="1" applyFont="1" applyFill="1" applyBorder="1" applyAlignment="1" applyProtection="1">
      <alignment horizontal="center" vertical="center"/>
    </xf>
    <xf numFmtId="0" fontId="27" fillId="0" borderId="39" xfId="1" applyNumberFormat="1" applyFont="1" applyFill="1" applyBorder="1" applyAlignment="1" applyProtection="1">
      <alignment horizontal="center" vertical="center"/>
    </xf>
    <xf numFmtId="41" fontId="29" fillId="11" borderId="91" xfId="1" applyFont="1" applyFill="1" applyBorder="1" applyAlignment="1" applyProtection="1">
      <alignment vertical="center"/>
    </xf>
    <xf numFmtId="41" fontId="29" fillId="11" borderId="40" xfId="1" applyFont="1" applyFill="1" applyBorder="1" applyAlignment="1" applyProtection="1">
      <alignment vertical="center"/>
    </xf>
    <xf numFmtId="41" fontId="27" fillId="0" borderId="158" xfId="1" applyFont="1" applyFill="1" applyBorder="1" applyAlignment="1" applyProtection="1">
      <alignment horizontal="center" vertical="center"/>
    </xf>
    <xf numFmtId="41" fontId="27" fillId="0" borderId="90" xfId="1" applyFont="1" applyFill="1" applyBorder="1" applyAlignment="1" applyProtection="1">
      <alignment horizontal="center" vertical="center"/>
    </xf>
    <xf numFmtId="41" fontId="27" fillId="0" borderId="33" xfId="1" applyFont="1" applyFill="1" applyBorder="1" applyAlignment="1" applyProtection="1">
      <alignment horizontal="center" vertical="center"/>
    </xf>
    <xf numFmtId="0" fontId="27" fillId="0" borderId="26" xfId="1" applyNumberFormat="1" applyFont="1" applyFill="1" applyBorder="1" applyAlignment="1" applyProtection="1">
      <alignment horizontal="left" vertical="center"/>
    </xf>
    <xf numFmtId="0" fontId="27" fillId="0" borderId="141" xfId="1" applyNumberFormat="1" applyFont="1" applyFill="1" applyBorder="1" applyAlignment="1" applyProtection="1">
      <alignment horizontal="left" vertical="center"/>
    </xf>
    <xf numFmtId="0" fontId="27" fillId="0" borderId="76" xfId="1" applyNumberFormat="1" applyFont="1" applyFill="1" applyBorder="1" applyAlignment="1" applyProtection="1">
      <alignment horizontal="left" vertical="center"/>
    </xf>
    <xf numFmtId="0" fontId="27" fillId="0" borderId="82" xfId="1" applyNumberFormat="1" applyFont="1" applyFill="1" applyBorder="1" applyAlignment="1" applyProtection="1">
      <alignment horizontal="left" vertical="center"/>
    </xf>
    <xf numFmtId="41" fontId="27" fillId="0" borderId="72" xfId="1" applyFont="1" applyFill="1" applyBorder="1" applyAlignment="1" applyProtection="1">
      <alignment horizontal="center" vertical="center"/>
    </xf>
    <xf numFmtId="41" fontId="27" fillId="0" borderId="87" xfId="1" applyFont="1" applyFill="1" applyBorder="1" applyAlignment="1" applyProtection="1">
      <alignment horizontal="center" vertical="center"/>
    </xf>
    <xf numFmtId="0" fontId="27" fillId="0" borderId="181" xfId="1" applyNumberFormat="1" applyFont="1" applyFill="1" applyBorder="1" applyAlignment="1" applyProtection="1">
      <alignment horizontal="center" vertical="center"/>
    </xf>
    <xf numFmtId="0" fontId="27" fillId="0" borderId="179" xfId="1" applyNumberFormat="1" applyFont="1" applyFill="1" applyBorder="1" applyAlignment="1" applyProtection="1">
      <alignment horizontal="center" vertical="center"/>
    </xf>
    <xf numFmtId="0" fontId="27" fillId="0" borderId="178" xfId="1" applyNumberFormat="1" applyFont="1" applyFill="1" applyBorder="1" applyAlignment="1" applyProtection="1">
      <alignment horizontal="center" vertical="center"/>
    </xf>
    <xf numFmtId="41" fontId="29" fillId="11" borderId="92" xfId="1" applyFont="1" applyFill="1" applyBorder="1" applyAlignment="1" applyProtection="1">
      <alignment vertical="center"/>
    </xf>
    <xf numFmtId="41" fontId="29" fillId="11" borderId="74" xfId="1" applyFont="1" applyFill="1" applyBorder="1" applyAlignment="1" applyProtection="1">
      <alignment vertical="center"/>
    </xf>
    <xf numFmtId="0" fontId="27" fillId="0" borderId="77" xfId="1" applyNumberFormat="1" applyFont="1" applyFill="1" applyBorder="1" applyAlignment="1" applyProtection="1">
      <alignment horizontal="center" vertical="center"/>
    </xf>
    <xf numFmtId="0" fontId="27" fillId="0" borderId="93" xfId="1" applyNumberFormat="1" applyFont="1" applyFill="1" applyBorder="1" applyAlignment="1" applyProtection="1">
      <alignment horizontal="center" vertical="center"/>
    </xf>
    <xf numFmtId="0" fontId="27" fillId="0" borderId="91" xfId="1" applyNumberFormat="1" applyFont="1" applyFill="1" applyBorder="1" applyAlignment="1" applyProtection="1">
      <alignment horizontal="center" vertical="center"/>
    </xf>
    <xf numFmtId="0" fontId="27" fillId="0" borderId="75" xfId="1" applyNumberFormat="1" applyFont="1" applyFill="1" applyBorder="1" applyAlignment="1" applyProtection="1">
      <alignment horizontal="center" vertical="center"/>
    </xf>
    <xf numFmtId="0" fontId="27" fillId="0" borderId="29" xfId="1" applyNumberFormat="1" applyFont="1" applyFill="1" applyBorder="1" applyAlignment="1" applyProtection="1">
      <alignment horizontal="center" vertical="center"/>
    </xf>
    <xf numFmtId="0" fontId="27" fillId="0" borderId="40" xfId="1" applyNumberFormat="1" applyFont="1" applyFill="1" applyBorder="1" applyAlignment="1" applyProtection="1">
      <alignment horizontal="center" vertical="center"/>
    </xf>
    <xf numFmtId="41" fontId="29" fillId="11" borderId="80" xfId="1" applyFont="1" applyFill="1" applyBorder="1" applyAlignment="1" applyProtection="1">
      <alignment vertical="center"/>
    </xf>
    <xf numFmtId="41" fontId="29" fillId="11" borderId="28" xfId="1" applyFont="1" applyFill="1" applyBorder="1" applyAlignment="1" applyProtection="1">
      <alignment vertical="center"/>
    </xf>
    <xf numFmtId="0" fontId="33" fillId="0" borderId="0" xfId="1" applyNumberFormat="1" applyFont="1" applyFill="1" applyBorder="1" applyAlignment="1" applyProtection="1">
      <alignment horizontal="distributed" vertical="center"/>
    </xf>
    <xf numFmtId="0" fontId="33" fillId="8" borderId="0" xfId="1" applyNumberFormat="1" applyFont="1" applyFill="1" applyBorder="1" applyAlignment="1" applyProtection="1">
      <alignment horizontal="center" vertical="center"/>
      <protection locked="0"/>
    </xf>
    <xf numFmtId="0" fontId="33" fillId="0" borderId="94" xfId="1" applyNumberFormat="1" applyFont="1" applyFill="1" applyBorder="1" applyAlignment="1" applyProtection="1">
      <alignment horizontal="right" vertical="center"/>
    </xf>
    <xf numFmtId="0" fontId="33" fillId="0" borderId="69" xfId="1" applyNumberFormat="1" applyFont="1" applyFill="1" applyBorder="1" applyAlignment="1" applyProtection="1">
      <alignment horizontal="right" vertical="center"/>
    </xf>
    <xf numFmtId="0" fontId="26" fillId="0" borderId="94" xfId="1" applyNumberFormat="1" applyFont="1" applyFill="1" applyBorder="1" applyAlignment="1" applyProtection="1">
      <alignment horizontal="right" vertical="center"/>
    </xf>
    <xf numFmtId="0" fontId="26" fillId="0" borderId="69" xfId="1" applyNumberFormat="1" applyFont="1" applyFill="1" applyBorder="1" applyAlignment="1" applyProtection="1">
      <alignment horizontal="right" vertical="center"/>
    </xf>
    <xf numFmtId="0" fontId="27" fillId="0" borderId="36" xfId="1" applyNumberFormat="1" applyFont="1" applyFill="1" applyBorder="1" applyAlignment="1" applyProtection="1">
      <alignment horizontal="center" vertical="center"/>
    </xf>
    <xf numFmtId="0" fontId="27" fillId="0" borderId="37" xfId="1" applyNumberFormat="1" applyFont="1" applyFill="1" applyBorder="1" applyAlignment="1" applyProtection="1">
      <alignment horizontal="center" vertical="center"/>
    </xf>
    <xf numFmtId="0" fontId="27" fillId="0" borderId="38" xfId="1" applyNumberFormat="1" applyFont="1" applyFill="1" applyBorder="1" applyAlignment="1" applyProtection="1">
      <alignment horizontal="center" vertical="center"/>
    </xf>
    <xf numFmtId="41" fontId="27" fillId="0" borderId="85" xfId="1" applyFont="1" applyFill="1" applyBorder="1" applyAlignment="1" applyProtection="1">
      <alignment horizontal="center" vertical="center"/>
    </xf>
    <xf numFmtId="0" fontId="27" fillId="0" borderId="30" xfId="1" applyNumberFormat="1" applyFont="1" applyFill="1" applyBorder="1" applyAlignment="1" applyProtection="1">
      <alignment horizontal="center" vertical="center"/>
    </xf>
    <xf numFmtId="0" fontId="27" fillId="0" borderId="27" xfId="1" applyNumberFormat="1" applyFont="1" applyFill="1" applyBorder="1" applyAlignment="1" applyProtection="1">
      <alignment horizontal="center" vertical="center"/>
    </xf>
    <xf numFmtId="0" fontId="27" fillId="0" borderId="89" xfId="1" applyNumberFormat="1" applyFont="1" applyFill="1" applyBorder="1" applyAlignment="1" applyProtection="1">
      <alignment horizontal="center" vertical="center"/>
    </xf>
    <xf numFmtId="0" fontId="27" fillId="0" borderId="21" xfId="1" applyNumberFormat="1" applyFont="1" applyFill="1" applyBorder="1" applyAlignment="1" applyProtection="1">
      <alignment horizontal="center" vertical="center"/>
    </xf>
    <xf numFmtId="0" fontId="27" fillId="0" borderId="23" xfId="1" applyNumberFormat="1" applyFont="1" applyFill="1" applyBorder="1" applyAlignment="1" applyProtection="1">
      <alignment horizontal="center" vertical="center"/>
    </xf>
    <xf numFmtId="0" fontId="27" fillId="0" borderId="34" xfId="1" applyNumberFormat="1" applyFont="1" applyFill="1" applyBorder="1" applyAlignment="1" applyProtection="1">
      <alignment horizontal="center" vertical="center"/>
    </xf>
    <xf numFmtId="0" fontId="27" fillId="0" borderId="70" xfId="1" applyNumberFormat="1" applyFont="1" applyFill="1" applyBorder="1" applyAlignment="1" applyProtection="1">
      <alignment horizontal="center" vertical="center"/>
    </xf>
    <xf numFmtId="0" fontId="27" fillId="0" borderId="35" xfId="1" applyNumberFormat="1" applyFont="1" applyFill="1" applyBorder="1" applyAlignment="1" applyProtection="1">
      <alignment horizontal="center" vertical="center"/>
    </xf>
    <xf numFmtId="0" fontId="27" fillId="0" borderId="68" xfId="1" applyNumberFormat="1" applyFont="1" applyFill="1" applyBorder="1" applyAlignment="1" applyProtection="1">
      <alignment horizontal="center" vertical="center"/>
    </xf>
    <xf numFmtId="0" fontId="27" fillId="0" borderId="96" xfId="1" applyNumberFormat="1" applyFont="1" applyFill="1" applyBorder="1" applyAlignment="1" applyProtection="1">
      <alignment horizontal="center" vertical="center"/>
    </xf>
    <xf numFmtId="0" fontId="27" fillId="0" borderId="2" xfId="1" applyNumberFormat="1" applyFont="1" applyFill="1" applyBorder="1" applyAlignment="1" applyProtection="1">
      <alignment horizontal="center" vertical="center"/>
    </xf>
    <xf numFmtId="41" fontId="27" fillId="10" borderId="158" xfId="1" applyFont="1" applyFill="1" applyBorder="1" applyAlignment="1" applyProtection="1">
      <alignment horizontal="center" vertical="center"/>
    </xf>
    <xf numFmtId="41" fontId="27" fillId="10" borderId="90" xfId="1" applyFont="1" applyFill="1" applyBorder="1" applyAlignment="1" applyProtection="1">
      <alignment horizontal="center" vertical="center"/>
    </xf>
    <xf numFmtId="41" fontId="27" fillId="10" borderId="40" xfId="1" applyFont="1" applyFill="1" applyBorder="1" applyAlignment="1" applyProtection="1">
      <alignment horizontal="center" vertical="center"/>
    </xf>
    <xf numFmtId="0" fontId="21" fillId="0" borderId="147" xfId="0" applyFont="1" applyBorder="1" applyAlignment="1" applyProtection="1">
      <alignment horizontal="left" vertical="center" shrinkToFit="1"/>
    </xf>
    <xf numFmtId="0" fontId="21" fillId="0" borderId="2" xfId="0" applyFont="1" applyBorder="1" applyAlignment="1" applyProtection="1">
      <alignment horizontal="left" vertical="center" shrinkToFit="1"/>
    </xf>
    <xf numFmtId="0" fontId="47" fillId="0" borderId="156" xfId="0" applyFont="1" applyBorder="1" applyAlignment="1" applyProtection="1">
      <alignment horizontal="left" vertical="center" shrinkToFit="1"/>
    </xf>
    <xf numFmtId="0" fontId="47" fillId="0" borderId="0" xfId="0" applyFont="1" applyAlignment="1" applyProtection="1">
      <alignment horizontal="left" vertical="center" shrinkToFit="1"/>
    </xf>
    <xf numFmtId="0" fontId="23" fillId="0" borderId="147" xfId="0" applyFont="1" applyBorder="1" applyAlignment="1" applyProtection="1">
      <alignment horizontal="left" vertical="center" indent="2" shrinkToFit="1"/>
    </xf>
    <xf numFmtId="0" fontId="23" fillId="0" borderId="2" xfId="0" applyFont="1" applyBorder="1" applyAlignment="1" applyProtection="1">
      <alignment horizontal="left" vertical="center" indent="2" shrinkToFit="1"/>
    </xf>
  </cellXfs>
  <cellStyles count="45">
    <cellStyle name="20% - 강조색6 2" xfId="3" xr:uid="{00000000-0005-0000-0000-000000000000}"/>
    <cellStyle name="40% - 강조색1 2" xfId="4" xr:uid="{00000000-0005-0000-0000-000001000000}"/>
    <cellStyle name="40% - 강조색2 2" xfId="5" xr:uid="{00000000-0005-0000-0000-000002000000}"/>
    <cellStyle name="40% - 강조색3 2" xfId="6" xr:uid="{00000000-0005-0000-0000-000003000000}"/>
    <cellStyle name="40% - 강조색4 2" xfId="7" xr:uid="{00000000-0005-0000-0000-000004000000}"/>
    <cellStyle name="40% - 강조색5 2" xfId="8" xr:uid="{00000000-0005-0000-0000-000005000000}"/>
    <cellStyle name="40% - 강조색6 2" xfId="9" xr:uid="{00000000-0005-0000-0000-000006000000}"/>
    <cellStyle name="60% - 강조색1 2" xfId="10" xr:uid="{00000000-0005-0000-0000-000007000000}"/>
    <cellStyle name="60% - 강조색2 2" xfId="11" xr:uid="{00000000-0005-0000-0000-000008000000}"/>
    <cellStyle name="60% - 강조색3 2" xfId="12" xr:uid="{00000000-0005-0000-0000-000009000000}"/>
    <cellStyle name="60% - 강조색4 2" xfId="13" xr:uid="{00000000-0005-0000-0000-00000A000000}"/>
    <cellStyle name="60% - 강조색5 2" xfId="14" xr:uid="{00000000-0005-0000-0000-00000B000000}"/>
    <cellStyle name="60% - 강조색6 2" xfId="15" xr:uid="{00000000-0005-0000-0000-00000C000000}"/>
    <cellStyle name="강조색1 2" xfId="16" xr:uid="{00000000-0005-0000-0000-00000D000000}"/>
    <cellStyle name="강조색2 2" xfId="17" xr:uid="{00000000-0005-0000-0000-00000E000000}"/>
    <cellStyle name="강조색3 2" xfId="18" xr:uid="{00000000-0005-0000-0000-00000F000000}"/>
    <cellStyle name="강조색4 2" xfId="19" xr:uid="{00000000-0005-0000-0000-000010000000}"/>
    <cellStyle name="강조색5 2" xfId="20" xr:uid="{00000000-0005-0000-0000-000011000000}"/>
    <cellStyle name="강조색6 2" xfId="21" xr:uid="{00000000-0005-0000-0000-000012000000}"/>
    <cellStyle name="경고문 2" xfId="22" xr:uid="{00000000-0005-0000-0000-000013000000}"/>
    <cellStyle name="계산 2" xfId="23" xr:uid="{00000000-0005-0000-0000-000014000000}"/>
    <cellStyle name="나쁨 2" xfId="24" xr:uid="{00000000-0005-0000-0000-000015000000}"/>
    <cellStyle name="메모 2" xfId="25" xr:uid="{00000000-0005-0000-0000-000016000000}"/>
    <cellStyle name="보통 2" xfId="26" xr:uid="{00000000-0005-0000-0000-000017000000}"/>
    <cellStyle name="설명 텍스트 2" xfId="27" xr:uid="{00000000-0005-0000-0000-000018000000}"/>
    <cellStyle name="셀 확인 2" xfId="28" xr:uid="{00000000-0005-0000-0000-000019000000}"/>
    <cellStyle name="쉼표 [0]" xfId="1" builtinId="6"/>
    <cellStyle name="쉼표 [0] 2" xfId="29" xr:uid="{00000000-0005-0000-0000-00001B000000}"/>
    <cellStyle name="쉼표 [0] 2 2" xfId="44" xr:uid="{DDC48FC4-B9C8-40A6-AAE4-6E9A73FFC6DC}"/>
    <cellStyle name="쉼표 [0] 3" xfId="30" xr:uid="{00000000-0005-0000-0000-00001C000000}"/>
    <cellStyle name="연결된 셀 2" xfId="31" xr:uid="{00000000-0005-0000-0000-00001D000000}"/>
    <cellStyle name="요약 2" xfId="32" xr:uid="{00000000-0005-0000-0000-00001E000000}"/>
    <cellStyle name="입력 2" xfId="33" xr:uid="{00000000-0005-0000-0000-00001F000000}"/>
    <cellStyle name="제목 1 2" xfId="34" xr:uid="{00000000-0005-0000-0000-000020000000}"/>
    <cellStyle name="제목 2 2" xfId="35" xr:uid="{00000000-0005-0000-0000-000021000000}"/>
    <cellStyle name="제목 3 2" xfId="36" xr:uid="{00000000-0005-0000-0000-000022000000}"/>
    <cellStyle name="제목 4 2" xfId="37" xr:uid="{00000000-0005-0000-0000-000023000000}"/>
    <cellStyle name="제목 5" xfId="38" xr:uid="{00000000-0005-0000-0000-000024000000}"/>
    <cellStyle name="좋음 2" xfId="39" xr:uid="{00000000-0005-0000-0000-000025000000}"/>
    <cellStyle name="출력 2" xfId="40" xr:uid="{00000000-0005-0000-0000-000026000000}"/>
    <cellStyle name="통화 [0]" xfId="43" builtinId="7"/>
    <cellStyle name="표준" xfId="0" builtinId="0"/>
    <cellStyle name="표준 2" xfId="2" xr:uid="{00000000-0005-0000-0000-000029000000}"/>
    <cellStyle name="표준 3" xfId="41" xr:uid="{00000000-0005-0000-0000-00002A000000}"/>
    <cellStyle name="표준 4" xfId="42" xr:uid="{00000000-0005-0000-0000-00002B000000}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FF0000"/>
        </patternFill>
      </fill>
    </dxf>
    <dxf>
      <fill>
        <patternFill>
          <bgColor theme="1" tint="4.9989318521683403E-2"/>
        </patternFill>
      </fill>
      <border>
        <left/>
        <right/>
        <top/>
        <bottom/>
      </border>
    </dxf>
    <dxf>
      <fill>
        <patternFill>
          <bgColor theme="1" tint="4.9989318521683403E-2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theme="3" tint="0.79998168889431442"/>
        </patternFill>
      </fill>
    </dxf>
    <dxf>
      <font>
        <b/>
        <i val="0"/>
        <u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3" tint="0.79998168889431442"/>
        </patternFill>
      </fill>
    </dxf>
    <dxf>
      <font>
        <b/>
        <i val="0"/>
        <u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1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80" formatCode="m&quot;/&quot;d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3" tint="0.39994506668294322"/>
        </top>
        <bottom/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0000FF"/>
      <color rgb="FFFFFF99"/>
      <color rgb="FFDDDDDD"/>
      <color rgb="FFFFFFCC"/>
      <color rgb="FFFFFF66"/>
      <color rgb="FF99FFCC"/>
      <color rgb="FFFF3399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41274</xdr:rowOff>
    </xdr:from>
    <xdr:to>
      <xdr:col>23</xdr:col>
      <xdr:colOff>104775</xdr:colOff>
      <xdr:row>10</xdr:row>
      <xdr:rowOff>76199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98EA5FD2-C0A1-4D2D-B4C3-0A9194FF487C}"/>
            </a:ext>
          </a:extLst>
        </xdr:cNvPr>
        <xdr:cNvSpPr/>
      </xdr:nvSpPr>
      <xdr:spPr>
        <a:xfrm>
          <a:off x="7724775" y="765174"/>
          <a:ext cx="7791450" cy="25495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수입 및 지출결의서를 따로 만들지 마세요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결의서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sheet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는 자동으로 만들어지며 그냥 출력만 하시면 됩니다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회계장부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Sheet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에서 먼저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수입이나 지출 내역을 입력하신 후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 b="1" u="sng">
              <a:solidFill>
                <a:srgbClr val="FF0000"/>
              </a:solidFill>
            </a:rPr>
            <a:t>결의서 </a:t>
          </a:r>
          <a:r>
            <a:rPr lang="en-US" altLang="ko-KR" sz="1400" b="1" u="sng">
              <a:solidFill>
                <a:srgbClr val="FF0000"/>
              </a:solidFill>
            </a:rPr>
            <a:t>sheet </a:t>
          </a:r>
          <a:r>
            <a:rPr lang="ko-KR" altLang="en-US" sz="1400" b="1" u="sng">
              <a:solidFill>
                <a:srgbClr val="FF0000"/>
              </a:solidFill>
            </a:rPr>
            <a:t>에서는 해당 일자만 변경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하시면 자동으로 결의서가 만들어집니다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날짜를 입력하실 때는  간단하게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월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/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일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"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형태로 입력하세요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 ..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</a:t>
          </a:r>
        </a:p>
        <a:p>
          <a:pPr algn="l"/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예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)  5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월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12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일인 경우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5/12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날짜 변경하시고 출력 하시면 끝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~~~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14</xdr:row>
      <xdr:rowOff>152400</xdr:rowOff>
    </xdr:from>
    <xdr:to>
      <xdr:col>8</xdr:col>
      <xdr:colOff>238125</xdr:colOff>
      <xdr:row>19</xdr:row>
      <xdr:rowOff>200025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A61FAE2F-8485-4AAB-B380-2B5B9A8D0BFB}"/>
            </a:ext>
          </a:extLst>
        </xdr:cNvPr>
        <xdr:cNvSpPr/>
      </xdr:nvSpPr>
      <xdr:spPr>
        <a:xfrm>
          <a:off x="47625" y="4552950"/>
          <a:ext cx="6924675" cy="161925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수기로 회계장부 작성하실 때 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매월 기장이 끝나면  월합계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,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연간합계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(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누계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)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를 추가로 기장하셔야 합니다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  </a:t>
          </a:r>
        </a:p>
        <a:p>
          <a:pPr algn="l"/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  이때  월합계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,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연간합계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,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잔액을 계산하셔야 하는데 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  이 시트로 확인하시고 그대로 기장하시면 편리합니다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  (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계산기가 필요 없어요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^^)</a:t>
          </a:r>
          <a:endParaRPr lang="ko-KR" altLang="en-US" sz="14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4</xdr:row>
      <xdr:rowOff>247649</xdr:rowOff>
    </xdr:from>
    <xdr:to>
      <xdr:col>18</xdr:col>
      <xdr:colOff>635000</xdr:colOff>
      <xdr:row>10</xdr:row>
      <xdr:rowOff>200024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A45042D5-4530-4F73-85B6-3974A863FA7C}"/>
            </a:ext>
          </a:extLst>
        </xdr:cNvPr>
        <xdr:cNvSpPr/>
      </xdr:nvSpPr>
      <xdr:spPr>
        <a:xfrm>
          <a:off x="8258175" y="1266824"/>
          <a:ext cx="7026275" cy="143827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회계 보고서는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&lt;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회계코드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&gt;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sheet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를 먼저 정리하신 후 </a:t>
          </a:r>
          <a:endParaRPr lang="en-US" altLang="ko-KR" sz="1400" baseline="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  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보고서 항목들을 정리해야 합니다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시작일자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와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종료일자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만 넣으시면 됩니다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.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120512</xdr:colOff>
      <xdr:row>3</xdr:row>
      <xdr:rowOff>154475</xdr:rowOff>
    </xdr:from>
    <xdr:to>
      <xdr:col>12</xdr:col>
      <xdr:colOff>333099</xdr:colOff>
      <xdr:row>8</xdr:row>
      <xdr:rowOff>76200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E719856E-424C-4BCB-997E-D4272357943F}"/>
            </a:ext>
          </a:extLst>
        </xdr:cNvPr>
        <xdr:cNvSpPr/>
      </xdr:nvSpPr>
      <xdr:spPr>
        <a:xfrm>
          <a:off x="6807062" y="964100"/>
          <a:ext cx="6899137" cy="10647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회계코드를 가장 먼저 손을 봐야 합니다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수입항목은 부서별 큰 차이가 없습니다만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,</a:t>
          </a:r>
        </a:p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지출항목은 부서별로 차이가 있어서 손을 대야 합니다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.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 </a:t>
          </a:r>
          <a:endParaRPr lang="en-US" altLang="ko-KR" sz="11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각 세부항목은 이름이 중복되면 안됩니다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. (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중복은 빨간색으로 표시됨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ission_01/Downloads/2020&#45380;%20&#54924;&#44228;&#51109;&#48512;-2020.07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계장부"/>
      <sheetName val="결의서"/>
      <sheetName val="월별누계"/>
      <sheetName val="회계보고"/>
      <sheetName val="2020 예산서"/>
      <sheetName val="검산서(상반기)"/>
      <sheetName val="검산서(하반기)"/>
      <sheetName val="회계코드"/>
      <sheetName val="회계보고서(삭제용)"/>
      <sheetName val="통장잔고"/>
      <sheetName val="장부대조"/>
      <sheetName val="회계보고+"/>
      <sheetName val="지출규정"/>
      <sheetName val="코드"/>
      <sheetName val="비고"/>
      <sheetName val="구검산+"/>
      <sheetName val="구검산-"/>
      <sheetName val="한국"/>
      <sheetName val="비품"/>
      <sheetName val="단기"/>
      <sheetName val="성탄"/>
      <sheetName val="검산+"/>
      <sheetName val="검산-"/>
      <sheetName val="목적"/>
      <sheetName val="교통비"/>
      <sheetName val="월별"/>
      <sheetName val="선교비15"/>
      <sheetName val="기도지"/>
      <sheetName val="기초"/>
    </sheetNames>
    <sheetDataSet>
      <sheetData sheetId="0" refreshError="1">
        <row r="1">
          <cell r="A1" t="str">
            <v>일  자</v>
          </cell>
          <cell r="J1" t="str">
            <v>항목</v>
          </cell>
        </row>
        <row r="2">
          <cell r="A2">
            <v>43466</v>
          </cell>
          <cell r="J2" t="str">
            <v>전년도이월금(A0)</v>
          </cell>
        </row>
        <row r="3">
          <cell r="A3">
            <v>43835</v>
          </cell>
          <cell r="J3" t="str">
            <v>세미나 행사비(F1)</v>
          </cell>
        </row>
        <row r="4">
          <cell r="A4">
            <v>43835</v>
          </cell>
          <cell r="J4" t="str">
            <v>행정사무비(L1)</v>
          </cell>
        </row>
        <row r="5">
          <cell r="A5">
            <v>43835</v>
          </cell>
          <cell r="J5" t="str">
            <v>행정사무비(L1)</v>
          </cell>
        </row>
        <row r="6">
          <cell r="A6">
            <v>43835</v>
          </cell>
          <cell r="J6" t="str">
            <v>선교사 교통비(D3)</v>
          </cell>
        </row>
        <row r="7">
          <cell r="A7">
            <v>43835</v>
          </cell>
          <cell r="J7" t="str">
            <v>선교사 교통비(D3)</v>
          </cell>
        </row>
        <row r="8">
          <cell r="A8">
            <v>43835</v>
          </cell>
          <cell r="J8" t="str">
            <v>작정헌금(A1)</v>
          </cell>
        </row>
        <row r="9">
          <cell r="A9">
            <v>43842</v>
          </cell>
          <cell r="J9" t="str">
            <v>선교위원 워크샵 및 답사비(E3)</v>
          </cell>
        </row>
        <row r="10">
          <cell r="A10">
            <v>43842</v>
          </cell>
          <cell r="J10" t="str">
            <v>선교위원 워크샵 및 답사비(E3)</v>
          </cell>
        </row>
        <row r="11">
          <cell r="A11">
            <v>43842</v>
          </cell>
          <cell r="J11" t="str">
            <v>선교위원 워크샵 및 답사비(E3)</v>
          </cell>
        </row>
        <row r="12">
          <cell r="A12">
            <v>43842</v>
          </cell>
          <cell r="J12" t="str">
            <v>선교위원 워크샵 및 답사비(E3)</v>
          </cell>
        </row>
        <row r="13">
          <cell r="A13">
            <v>43842</v>
          </cell>
          <cell r="J13" t="str">
            <v>작정헌금(A1)</v>
          </cell>
        </row>
        <row r="14">
          <cell r="A14">
            <v>43842</v>
          </cell>
          <cell r="J14" t="str">
            <v>선교학교 지원비(E2)</v>
          </cell>
        </row>
        <row r="15">
          <cell r="A15">
            <v>43842</v>
          </cell>
          <cell r="J15" t="str">
            <v>성탄카드및 선물보내기 우송료(G2)</v>
          </cell>
        </row>
        <row r="16">
          <cell r="A16">
            <v>43842</v>
          </cell>
          <cell r="J16" t="str">
            <v>목적선교비(C1)</v>
          </cell>
        </row>
        <row r="17">
          <cell r="A17">
            <v>43842</v>
          </cell>
          <cell r="J17" t="str">
            <v>세미나 행사비(F1)</v>
          </cell>
        </row>
        <row r="18">
          <cell r="A18">
            <v>43842</v>
          </cell>
          <cell r="J18" t="str">
            <v>목적선교비(C1)</v>
          </cell>
        </row>
        <row r="19">
          <cell r="A19">
            <v>43849</v>
          </cell>
          <cell r="J19" t="str">
            <v>협력선교협력,기관(85명)(B2)</v>
          </cell>
        </row>
        <row r="20">
          <cell r="A20">
            <v>43849</v>
          </cell>
          <cell r="J20" t="str">
            <v>협력선교협력,기관(85명)(B2)</v>
          </cell>
        </row>
        <row r="21">
          <cell r="A21">
            <v>43849</v>
          </cell>
          <cell r="J21" t="str">
            <v>협력선교협력,기관(85명)(B2)</v>
          </cell>
        </row>
        <row r="22">
          <cell r="A22">
            <v>43849</v>
          </cell>
          <cell r="J22" t="str">
            <v>협력선교협력,기관(85명)(B2)</v>
          </cell>
        </row>
        <row r="23">
          <cell r="A23">
            <v>43849</v>
          </cell>
          <cell r="J23" t="str">
            <v>협력선교협력,기관(85명)(B2)</v>
          </cell>
        </row>
        <row r="24">
          <cell r="A24">
            <v>43849</v>
          </cell>
          <cell r="J24" t="str">
            <v>협력선교협력,기관(85명)(B2)</v>
          </cell>
        </row>
        <row r="25">
          <cell r="A25">
            <v>43849</v>
          </cell>
          <cell r="J25" t="str">
            <v>협력선교협력,기관(85명)(B2)</v>
          </cell>
        </row>
        <row r="26">
          <cell r="A26">
            <v>43849</v>
          </cell>
          <cell r="J26" t="str">
            <v>선교단체(7곳)(B3)</v>
          </cell>
        </row>
        <row r="27">
          <cell r="A27">
            <v>43849</v>
          </cell>
          <cell r="J27" t="str">
            <v>청년선교활동비(H1)</v>
          </cell>
        </row>
        <row r="28">
          <cell r="A28">
            <v>43849</v>
          </cell>
          <cell r="J28" t="str">
            <v>비젼트립 지원비(청년)(H3)</v>
          </cell>
        </row>
        <row r="29">
          <cell r="A29">
            <v>43849</v>
          </cell>
          <cell r="J29" t="str">
            <v>행정사무비(L1)</v>
          </cell>
        </row>
        <row r="30">
          <cell r="A30">
            <v>43849</v>
          </cell>
          <cell r="J30" t="str">
            <v>행정사무비(L1)</v>
          </cell>
        </row>
        <row r="31">
          <cell r="A31">
            <v>43849</v>
          </cell>
          <cell r="J31" t="str">
            <v>작정헌금(A1)</v>
          </cell>
        </row>
        <row r="32">
          <cell r="A32">
            <v>43856</v>
          </cell>
          <cell r="J32" t="str">
            <v>선교위원 워크샵 및 답사비(E3)</v>
          </cell>
        </row>
        <row r="33">
          <cell r="A33">
            <v>43856</v>
          </cell>
          <cell r="J33" t="str">
            <v>행정사무비(L1)</v>
          </cell>
        </row>
        <row r="34">
          <cell r="A34">
            <v>43856</v>
          </cell>
          <cell r="J34" t="str">
            <v>작정헌금(A1)</v>
          </cell>
        </row>
        <row r="35">
          <cell r="A35">
            <v>43856</v>
          </cell>
          <cell r="J35" t="str">
            <v>목적헌금(A2)</v>
          </cell>
        </row>
        <row r="36">
          <cell r="A36">
            <v>43856</v>
          </cell>
          <cell r="J36" t="str">
            <v>목적선교비(C1)</v>
          </cell>
        </row>
        <row r="37">
          <cell r="A37">
            <v>43856</v>
          </cell>
          <cell r="J37" t="str">
            <v>목적헌금(A2)</v>
          </cell>
        </row>
        <row r="38">
          <cell r="A38">
            <v>43856</v>
          </cell>
          <cell r="J38" t="str">
            <v>목적선교비(C1)</v>
          </cell>
        </row>
        <row r="39">
          <cell r="A39">
            <v>43863</v>
          </cell>
          <cell r="J39" t="str">
            <v>특별지원비(G1)</v>
          </cell>
        </row>
        <row r="40">
          <cell r="A40">
            <v>43863</v>
          </cell>
          <cell r="J40" t="str">
            <v>특별지원비(G1)</v>
          </cell>
        </row>
        <row r="41">
          <cell r="A41">
            <v>43863</v>
          </cell>
          <cell r="J41" t="str">
            <v>특별지원비(G1)</v>
          </cell>
        </row>
        <row r="42">
          <cell r="A42">
            <v>43863</v>
          </cell>
          <cell r="J42" t="str">
            <v>선교사 경조비(부모 선물)(D1)</v>
          </cell>
        </row>
        <row r="43">
          <cell r="A43">
            <v>43863</v>
          </cell>
          <cell r="J43" t="str">
            <v>협력선교협력,기관(85명)(B2)</v>
          </cell>
        </row>
        <row r="44">
          <cell r="A44">
            <v>43863</v>
          </cell>
          <cell r="J44" t="str">
            <v>협력선교협력,기관(85명)(B2)</v>
          </cell>
        </row>
        <row r="45">
          <cell r="A45">
            <v>43863</v>
          </cell>
          <cell r="J45" t="str">
            <v>협력선교협력,기관(85명)(B2)</v>
          </cell>
        </row>
        <row r="46">
          <cell r="A46">
            <v>43863</v>
          </cell>
          <cell r="J46" t="str">
            <v>협력선교협력,기관(85명)(B2)</v>
          </cell>
        </row>
        <row r="47">
          <cell r="A47">
            <v>43863</v>
          </cell>
          <cell r="J47" t="str">
            <v>협력선교협력,기관(85명)(B2)</v>
          </cell>
        </row>
        <row r="48">
          <cell r="A48">
            <v>43863</v>
          </cell>
          <cell r="J48" t="str">
            <v>협력선교협력,기관(85명)(B2)</v>
          </cell>
        </row>
        <row r="49">
          <cell r="A49">
            <v>43863</v>
          </cell>
          <cell r="J49" t="str">
            <v>선교사 경조비(부모 선물)(D1)</v>
          </cell>
        </row>
        <row r="50">
          <cell r="A50">
            <v>43863</v>
          </cell>
          <cell r="J50" t="str">
            <v>행정사무비(L1)</v>
          </cell>
        </row>
        <row r="51">
          <cell r="A51">
            <v>43863</v>
          </cell>
          <cell r="J51" t="str">
            <v>선교사 교통비(D3)</v>
          </cell>
        </row>
        <row r="52">
          <cell r="A52">
            <v>43863</v>
          </cell>
          <cell r="J52" t="str">
            <v>일반헌금(A3)</v>
          </cell>
        </row>
        <row r="53">
          <cell r="A53">
            <v>43863</v>
          </cell>
          <cell r="J53" t="str">
            <v>작정헌금(A1)</v>
          </cell>
        </row>
        <row r="54">
          <cell r="A54">
            <v>43863</v>
          </cell>
          <cell r="J54" t="str">
            <v>목적헌금(A2)</v>
          </cell>
        </row>
        <row r="55">
          <cell r="A55">
            <v>43863</v>
          </cell>
          <cell r="J55" t="str">
            <v>목적선교비(C1)</v>
          </cell>
        </row>
        <row r="56">
          <cell r="A56">
            <v>43863</v>
          </cell>
          <cell r="J56" t="str">
            <v>청년선교활동비(H1)</v>
          </cell>
        </row>
        <row r="57">
          <cell r="A57">
            <v>43863</v>
          </cell>
          <cell r="J57" t="str">
            <v>특별지원비(G1)</v>
          </cell>
        </row>
        <row r="58">
          <cell r="A58">
            <v>43863</v>
          </cell>
          <cell r="J58" t="str">
            <v>작정헌금(A1)</v>
          </cell>
        </row>
        <row r="59">
          <cell r="A59">
            <v>43870</v>
          </cell>
          <cell r="J59" t="str">
            <v>세미나 행사비(F1)</v>
          </cell>
        </row>
        <row r="60">
          <cell r="A60">
            <v>43870</v>
          </cell>
          <cell r="J60" t="str">
            <v>세미나 행사비(F1)</v>
          </cell>
        </row>
        <row r="61">
          <cell r="A61">
            <v>43870</v>
          </cell>
          <cell r="J61" t="str">
            <v>세미나 행사비(F1)</v>
          </cell>
        </row>
        <row r="62">
          <cell r="A62">
            <v>43870</v>
          </cell>
          <cell r="J62" t="str">
            <v>세미나 행사비(F1)</v>
          </cell>
        </row>
        <row r="63">
          <cell r="A63">
            <v>43870</v>
          </cell>
          <cell r="J63" t="str">
            <v>세미나 행사비(F1)</v>
          </cell>
        </row>
        <row r="64">
          <cell r="A64">
            <v>43870</v>
          </cell>
          <cell r="J64" t="str">
            <v>세미나 행사비(F1)</v>
          </cell>
        </row>
        <row r="65">
          <cell r="A65">
            <v>43870</v>
          </cell>
          <cell r="J65" t="str">
            <v>행정사무비(L1)</v>
          </cell>
        </row>
        <row r="66">
          <cell r="A66">
            <v>43870</v>
          </cell>
          <cell r="J66" t="str">
            <v>작정헌금(A1)</v>
          </cell>
        </row>
        <row r="67">
          <cell r="A67">
            <v>43877</v>
          </cell>
          <cell r="J67" t="str">
            <v>행정사무비(L1)</v>
          </cell>
        </row>
        <row r="68">
          <cell r="A68">
            <v>43877</v>
          </cell>
          <cell r="J68" t="str">
            <v>선교사 경조비(부모 선물)(D1)</v>
          </cell>
        </row>
        <row r="69">
          <cell r="A69">
            <v>43877</v>
          </cell>
          <cell r="J69" t="str">
            <v>작정헌금(A1)</v>
          </cell>
        </row>
        <row r="70">
          <cell r="A70">
            <v>43884</v>
          </cell>
          <cell r="J70" t="str">
            <v>신간도서 구입비(F2)</v>
          </cell>
        </row>
        <row r="71">
          <cell r="A71">
            <v>43884</v>
          </cell>
          <cell r="J71" t="str">
            <v>해외봉사 지원 (장년)(I2)</v>
          </cell>
        </row>
        <row r="72">
          <cell r="A72">
            <v>43884</v>
          </cell>
          <cell r="J72" t="str">
            <v>해외봉사 지원 (장년)(I2)</v>
          </cell>
        </row>
        <row r="73">
          <cell r="A73">
            <v>43884</v>
          </cell>
          <cell r="J73" t="str">
            <v>유학생 지원(J1)</v>
          </cell>
        </row>
        <row r="74">
          <cell r="A74">
            <v>43884</v>
          </cell>
          <cell r="J74" t="str">
            <v>선교사 경조비(부모 선물)(D1)</v>
          </cell>
        </row>
        <row r="75">
          <cell r="A75">
            <v>43884</v>
          </cell>
          <cell r="J75" t="str">
            <v>행정사무비(L1)</v>
          </cell>
        </row>
        <row r="76">
          <cell r="A76">
            <v>43884</v>
          </cell>
          <cell r="J76" t="str">
            <v>행정사무비(L1)</v>
          </cell>
        </row>
        <row r="77">
          <cell r="A77">
            <v>43884</v>
          </cell>
          <cell r="J77" t="str">
            <v>행정사무비(L1)</v>
          </cell>
        </row>
        <row r="78">
          <cell r="A78">
            <v>43919</v>
          </cell>
          <cell r="J78" t="str">
            <v>행정사무비(L1)</v>
          </cell>
        </row>
        <row r="79">
          <cell r="A79">
            <v>43919</v>
          </cell>
          <cell r="J79" t="str">
            <v>교회보조금(A4)</v>
          </cell>
        </row>
        <row r="80">
          <cell r="A80">
            <v>43919</v>
          </cell>
          <cell r="J80" t="str">
            <v>주후원 선교사 (9명)(B1)</v>
          </cell>
        </row>
        <row r="81">
          <cell r="A81">
            <v>43919</v>
          </cell>
          <cell r="J81" t="str">
            <v>협력선교협력,기관(85명)(B2)</v>
          </cell>
        </row>
        <row r="82">
          <cell r="A82">
            <v>43919</v>
          </cell>
          <cell r="J82" t="str">
            <v>협력선교협력,기관(85명)(B2)</v>
          </cell>
        </row>
        <row r="83">
          <cell r="A83">
            <v>43919</v>
          </cell>
          <cell r="J83" t="str">
            <v>선교단체(7곳)(B3)</v>
          </cell>
        </row>
        <row r="84">
          <cell r="A84">
            <v>43919</v>
          </cell>
          <cell r="J84" t="str">
            <v>해외봉사 지원 (장년)(I2)</v>
          </cell>
        </row>
        <row r="85">
          <cell r="A85">
            <v>43919</v>
          </cell>
          <cell r="J85" t="str">
            <v>특별지원비(G1)</v>
          </cell>
        </row>
        <row r="86">
          <cell r="A86">
            <v>43919</v>
          </cell>
          <cell r="J86" t="str">
            <v>잡수입 및 기타(A5)</v>
          </cell>
        </row>
        <row r="87">
          <cell r="A87">
            <v>43919</v>
          </cell>
          <cell r="J87" t="str">
            <v>행정사무비(L1)</v>
          </cell>
        </row>
        <row r="88">
          <cell r="A88">
            <v>43919</v>
          </cell>
          <cell r="J88" t="str">
            <v>작정헌금(A1)</v>
          </cell>
        </row>
        <row r="89">
          <cell r="A89">
            <v>43926</v>
          </cell>
          <cell r="J89" t="str">
            <v>행정사무비(L1)</v>
          </cell>
        </row>
        <row r="90">
          <cell r="A90">
            <v>43926</v>
          </cell>
          <cell r="J90" t="str">
            <v>행정사무비(L1)</v>
          </cell>
        </row>
        <row r="91">
          <cell r="A91">
            <v>43926</v>
          </cell>
          <cell r="J91" t="str">
            <v>행정사무비(L1)</v>
          </cell>
        </row>
        <row r="92">
          <cell r="A92">
            <v>43940</v>
          </cell>
          <cell r="J92" t="str">
            <v>작정헌금(A1)</v>
          </cell>
        </row>
        <row r="93">
          <cell r="A93">
            <v>43947</v>
          </cell>
          <cell r="J93" t="str">
            <v>작정헌금(A1)</v>
          </cell>
        </row>
        <row r="94">
          <cell r="A94">
            <v>43947</v>
          </cell>
          <cell r="J94" t="str">
            <v>목적헌금(A2)</v>
          </cell>
        </row>
        <row r="95">
          <cell r="A95">
            <v>43947</v>
          </cell>
          <cell r="J95" t="str">
            <v>목적선교비(C1)</v>
          </cell>
        </row>
        <row r="96">
          <cell r="A96">
            <v>43947</v>
          </cell>
          <cell r="J96" t="str">
            <v>목적헌금(A2)</v>
          </cell>
        </row>
        <row r="97">
          <cell r="A97">
            <v>43947</v>
          </cell>
          <cell r="J97" t="str">
            <v>일반헌금(A3)</v>
          </cell>
        </row>
        <row r="98">
          <cell r="A98">
            <v>43948</v>
          </cell>
          <cell r="J98" t="str">
            <v>교회보조금(A4)</v>
          </cell>
        </row>
        <row r="99">
          <cell r="A99">
            <v>43954</v>
          </cell>
          <cell r="J99" t="str">
            <v>협력선교협력,기관(85명)(B2)</v>
          </cell>
        </row>
        <row r="100">
          <cell r="A100">
            <v>43954</v>
          </cell>
          <cell r="J100" t="str">
            <v>협력선교협력,기관(85명)(B2)</v>
          </cell>
        </row>
        <row r="101">
          <cell r="A101">
            <v>43954</v>
          </cell>
          <cell r="J101" t="str">
            <v>행정사무비(L1)</v>
          </cell>
        </row>
        <row r="102">
          <cell r="A102">
            <v>43954</v>
          </cell>
          <cell r="J102" t="str">
            <v>행정사무비(L1)</v>
          </cell>
        </row>
        <row r="103">
          <cell r="A103">
            <v>43954</v>
          </cell>
          <cell r="J103" t="str">
            <v>작정헌금(A1)</v>
          </cell>
        </row>
        <row r="104">
          <cell r="A104">
            <v>43961</v>
          </cell>
          <cell r="J104" t="str">
            <v>작정헌금(A1)</v>
          </cell>
        </row>
        <row r="105">
          <cell r="A105">
            <v>43961</v>
          </cell>
          <cell r="J105" t="str">
            <v>목적헌금(A2)</v>
          </cell>
        </row>
        <row r="106">
          <cell r="A106">
            <v>43961</v>
          </cell>
          <cell r="J106" t="str">
            <v>목적선교비(C1)</v>
          </cell>
        </row>
        <row r="107">
          <cell r="A107">
            <v>43968</v>
          </cell>
          <cell r="J107" t="str">
            <v>선교사 경조비(부모 선물)(D1)</v>
          </cell>
        </row>
        <row r="108">
          <cell r="A108">
            <v>43968</v>
          </cell>
          <cell r="J108" t="str">
            <v>선교사 경조비(부모 선물)(D1)</v>
          </cell>
        </row>
        <row r="109">
          <cell r="A109">
            <v>43968</v>
          </cell>
          <cell r="J109" t="str">
            <v>선교사 경조비(부모 선물)(D1)</v>
          </cell>
        </row>
        <row r="110">
          <cell r="A110">
            <v>43968</v>
          </cell>
          <cell r="J110" t="str">
            <v>선교사 경조비(부모 선물)(D1)</v>
          </cell>
        </row>
        <row r="111">
          <cell r="A111">
            <v>43968</v>
          </cell>
          <cell r="J111" t="str">
            <v>주후원 선교사 (9명)(B1)</v>
          </cell>
        </row>
        <row r="112">
          <cell r="A112">
            <v>43968</v>
          </cell>
          <cell r="J112" t="str">
            <v>협력선교협력,기관(85명)(B2)</v>
          </cell>
        </row>
        <row r="113">
          <cell r="A113">
            <v>43968</v>
          </cell>
          <cell r="J113" t="str">
            <v>협력선교협력,기관(85명)(B2)</v>
          </cell>
        </row>
        <row r="114">
          <cell r="A114">
            <v>43968</v>
          </cell>
          <cell r="J114" t="str">
            <v>선교단체(7곳)(B3)</v>
          </cell>
        </row>
        <row r="115">
          <cell r="A115">
            <v>43968</v>
          </cell>
          <cell r="J115" t="str">
            <v>해외봉사 지원 (장년)(I2)</v>
          </cell>
        </row>
        <row r="116">
          <cell r="A116">
            <v>43968</v>
          </cell>
          <cell r="J116" t="str">
            <v>목적선교비(C1)</v>
          </cell>
        </row>
        <row r="117">
          <cell r="A117">
            <v>43968</v>
          </cell>
          <cell r="J117" t="str">
            <v>특별지원비(G1)</v>
          </cell>
        </row>
        <row r="118">
          <cell r="A118">
            <v>43968</v>
          </cell>
          <cell r="J118" t="str">
            <v>행정사무비(L1)</v>
          </cell>
        </row>
        <row r="119">
          <cell r="A119">
            <v>43968</v>
          </cell>
          <cell r="J119" t="str">
            <v>작정헌금(A1)</v>
          </cell>
        </row>
        <row r="120">
          <cell r="A120">
            <v>43968</v>
          </cell>
          <cell r="J120" t="str">
            <v>목적헌금(A2)</v>
          </cell>
        </row>
        <row r="121">
          <cell r="A121">
            <v>43968</v>
          </cell>
          <cell r="J121" t="str">
            <v>목적선교비(C1)</v>
          </cell>
        </row>
        <row r="122">
          <cell r="A122">
            <v>43975</v>
          </cell>
          <cell r="J122" t="str">
            <v>작정헌금(A1)</v>
          </cell>
        </row>
        <row r="123">
          <cell r="A123">
            <v>43982</v>
          </cell>
          <cell r="J123" t="str">
            <v>작정헌금(A1)</v>
          </cell>
        </row>
        <row r="124">
          <cell r="A124">
            <v>43982</v>
          </cell>
          <cell r="J124" t="str">
            <v>목적헌금(A2)</v>
          </cell>
        </row>
        <row r="125">
          <cell r="A125">
            <v>43982</v>
          </cell>
          <cell r="J125" t="str">
            <v>목적선교비(C1)</v>
          </cell>
        </row>
        <row r="126">
          <cell r="A126">
            <v>43982</v>
          </cell>
          <cell r="J126" t="str">
            <v>일반헌금(A3)</v>
          </cell>
        </row>
        <row r="127">
          <cell r="A127">
            <v>43982</v>
          </cell>
          <cell r="J127" t="str">
            <v>목적헌금(A2)</v>
          </cell>
        </row>
        <row r="128">
          <cell r="A128">
            <v>43982</v>
          </cell>
          <cell r="J128" t="str">
            <v>목적선교비(C1)</v>
          </cell>
        </row>
        <row r="129">
          <cell r="A129">
            <v>43989</v>
          </cell>
          <cell r="J129" t="str">
            <v>작정헌금(A1)</v>
          </cell>
        </row>
        <row r="130">
          <cell r="A130">
            <v>43989</v>
          </cell>
          <cell r="J130" t="str">
            <v>행정사무비(L1)</v>
          </cell>
        </row>
        <row r="131">
          <cell r="A131">
            <v>43989</v>
          </cell>
          <cell r="J131" t="str">
            <v>행정사무비(L1)</v>
          </cell>
        </row>
        <row r="132">
          <cell r="A132">
            <v>43989</v>
          </cell>
          <cell r="J132" t="str">
            <v>행정사무비(L1)</v>
          </cell>
        </row>
        <row r="133">
          <cell r="A133">
            <v>43989</v>
          </cell>
          <cell r="J133" t="str">
            <v>선교기도지(F3)</v>
          </cell>
        </row>
        <row r="134">
          <cell r="A134">
            <v>43989</v>
          </cell>
          <cell r="J134" t="str">
            <v>특별지원비(G1)</v>
          </cell>
        </row>
        <row r="135">
          <cell r="A135">
            <v>43996</v>
          </cell>
          <cell r="J135" t="str">
            <v>작정헌금(A1)</v>
          </cell>
        </row>
        <row r="136">
          <cell r="A136">
            <v>43996</v>
          </cell>
          <cell r="J136" t="str">
            <v>목적헌금(A2)</v>
          </cell>
        </row>
        <row r="137">
          <cell r="A137">
            <v>44003</v>
          </cell>
          <cell r="J137" t="str">
            <v>선교사 교통비(D3)</v>
          </cell>
        </row>
        <row r="138">
          <cell r="A138">
            <v>44003</v>
          </cell>
          <cell r="J138" t="str">
            <v>작정헌금(A1)</v>
          </cell>
        </row>
        <row r="139">
          <cell r="A139">
            <v>44003</v>
          </cell>
          <cell r="J139" t="str">
            <v>교회보조금(A4)</v>
          </cell>
        </row>
        <row r="140">
          <cell r="A140">
            <v>44010</v>
          </cell>
          <cell r="J140" t="str">
            <v>작정헌금(A1)</v>
          </cell>
        </row>
        <row r="141">
          <cell r="A141">
            <v>44010</v>
          </cell>
          <cell r="J141" t="str">
            <v>목적헌금(A2)</v>
          </cell>
        </row>
        <row r="142">
          <cell r="A142">
            <v>44010</v>
          </cell>
          <cell r="J142" t="str">
            <v>목적헌금(A2)</v>
          </cell>
        </row>
        <row r="143">
          <cell r="A143">
            <v>44010</v>
          </cell>
          <cell r="J143" t="str">
            <v>일반헌금(A3)</v>
          </cell>
        </row>
        <row r="144">
          <cell r="A144">
            <v>44010</v>
          </cell>
          <cell r="J144" t="str">
            <v>목적헌금(A2)</v>
          </cell>
        </row>
        <row r="145">
          <cell r="A145">
            <v>44010</v>
          </cell>
          <cell r="J145" t="str">
            <v>잡수입 및 기타(A5)</v>
          </cell>
        </row>
        <row r="146">
          <cell r="A146">
            <v>44010</v>
          </cell>
          <cell r="J146" t="str">
            <v>선교사 접대비(D4)</v>
          </cell>
        </row>
        <row r="147">
          <cell r="A147">
            <v>44010</v>
          </cell>
          <cell r="J147" t="str">
            <v>행정사무비(L1)</v>
          </cell>
        </row>
        <row r="148">
          <cell r="A148">
            <v>44010</v>
          </cell>
          <cell r="J148" t="str">
            <v>행정사무비(L1)</v>
          </cell>
        </row>
        <row r="149">
          <cell r="A149">
            <v>44010</v>
          </cell>
          <cell r="J149" t="str">
            <v>세미나 행사비(F1)</v>
          </cell>
        </row>
        <row r="150">
          <cell r="A150">
            <v>44010</v>
          </cell>
          <cell r="J150" t="str">
            <v>세미나 행사비(F1)</v>
          </cell>
        </row>
        <row r="151">
          <cell r="A151">
            <v>44017</v>
          </cell>
          <cell r="J151" t="str">
            <v>목적선교비(C1)</v>
          </cell>
        </row>
        <row r="152">
          <cell r="A152">
            <v>44017</v>
          </cell>
          <cell r="J152" t="str">
            <v>선교사 접대비(D4)</v>
          </cell>
        </row>
        <row r="153">
          <cell r="A153">
            <v>44017</v>
          </cell>
          <cell r="J153" t="str">
            <v>세미나 행사비(F1)</v>
          </cell>
        </row>
        <row r="154">
          <cell r="A154">
            <v>44017</v>
          </cell>
          <cell r="J154" t="str">
            <v>세미나 행사비(F1)</v>
          </cell>
        </row>
        <row r="155">
          <cell r="A155">
            <v>44017</v>
          </cell>
          <cell r="J155" t="str">
            <v>목적선교비(C1)</v>
          </cell>
        </row>
        <row r="156">
          <cell r="A156">
            <v>44017</v>
          </cell>
          <cell r="J156" t="str">
            <v>목적선교비(C1)</v>
          </cell>
        </row>
        <row r="157">
          <cell r="A157">
            <v>44017</v>
          </cell>
          <cell r="J157" t="str">
            <v>목적선교비(C1)</v>
          </cell>
        </row>
        <row r="158">
          <cell r="A158">
            <v>44017</v>
          </cell>
          <cell r="J158" t="str">
            <v>행정사무비(L1)</v>
          </cell>
        </row>
        <row r="159">
          <cell r="A159">
            <v>44024</v>
          </cell>
          <cell r="J159" t="str">
            <v>작정헌금(A1)</v>
          </cell>
        </row>
        <row r="160">
          <cell r="A160">
            <v>44024</v>
          </cell>
          <cell r="J160" t="str">
            <v>주후원 선교사 (9명)(B1)</v>
          </cell>
        </row>
        <row r="161">
          <cell r="A161">
            <v>44024</v>
          </cell>
          <cell r="J161" t="str">
            <v>협력선교협력,기관(85명)(B2)</v>
          </cell>
        </row>
        <row r="162">
          <cell r="A162">
            <v>44024</v>
          </cell>
          <cell r="J162" t="str">
            <v>협력선교협력,기관(85명)(B2)</v>
          </cell>
        </row>
        <row r="163">
          <cell r="A163">
            <v>44024</v>
          </cell>
          <cell r="J163" t="str">
            <v>선교단체(7곳)(B3)</v>
          </cell>
        </row>
        <row r="164">
          <cell r="A164">
            <v>44024</v>
          </cell>
          <cell r="J164" t="str">
            <v>해외봉사 지원 (장년)(I2)</v>
          </cell>
        </row>
        <row r="165">
          <cell r="A165">
            <v>44024</v>
          </cell>
          <cell r="J165" t="str">
            <v>목적선교비(C1)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A3E135-27FD-4BAD-ABAE-18012D8E5B82}" name="표1" displayName="표1" ref="A1:L3" totalsRowShown="0" headerRowDxfId="36" dataDxfId="35" tableBorderDxfId="34" headerRowCellStyle="쉼표 [0]" dataCellStyle="쉼표 [0]">
  <autoFilter ref="A1:L3" xr:uid="{7607874D-55B3-470F-A787-9F8C33BA9B38}"/>
  <tableColumns count="12">
    <tableColumn id="1" xr3:uid="{58B8A490-283A-44BB-A9E9-3745666101D7}" name="일  자" dataDxfId="33"/>
    <tableColumn id="2" xr3:uid="{04C8F4E3-1881-4132-B5D1-64CAD354DA01}" name="적   요" dataDxfId="32"/>
    <tableColumn id="3" xr3:uid="{98751440-0147-4245-82A0-DD613CA4F6CA}" name="수입금액" dataDxfId="31" dataCellStyle="쉼표 [0]"/>
    <tableColumn id="4" xr3:uid="{39D94D31-1B14-4695-8F3F-49CFA4A640BD}" name="지출금액" dataDxfId="30" dataCellStyle="쉼표 [0]"/>
    <tableColumn id="5" xr3:uid="{674E07EF-43A6-4170-A3D4-A49A17787C10}" name="잔  액" dataDxfId="29" dataCellStyle="쉼표 [0]">
      <calculatedColumnFormula>E1+C2-D2</calculatedColumnFormula>
    </tableColumn>
    <tableColumn id="6" xr3:uid="{A29ABE2C-1B83-472D-A8E7-81A2E037355B}" name="비   고" dataDxfId="28" dataCellStyle="쉼표 [0]"/>
    <tableColumn id="7" xr3:uid="{3695AE40-C8C5-493B-9CF9-51976611BD22}" name="수입/지출" dataDxfId="27" dataCellStyle="쉼표 [0]">
      <calculatedColumnFormula>IF(ISBLANK(C2),"지출항목","수입항목")</calculatedColumnFormula>
    </tableColumn>
    <tableColumn id="8" xr3:uid="{4DE3D90C-6721-4293-BAC6-AC12AF644DAB}" name="회계코드위치" dataDxfId="26" dataCellStyle="쉼표 [0]">
      <calculatedColumnFormula>IF(회계장부!$G2="수입항목",0,23)</calculatedColumnFormula>
    </tableColumn>
    <tableColumn id="9" xr3:uid="{A9E7AFB5-2F6F-4B59-A5FC-F47706575F5C}" name="관" dataDxfId="25" dataCellStyle="쉼표 [0]"/>
    <tableColumn id="10" xr3:uid="{AFBA9169-D208-4193-993B-6C44503CE239}" name="항목" dataDxfId="24" dataCellStyle="쉼표 [0]"/>
    <tableColumn id="11" xr3:uid="{562BAA22-165F-4165-8233-896BFCCD887A}" name="수입누적구분" dataDxfId="23" dataCellStyle="쉼표 [0]">
      <calculatedColumnFormula>IF(G2="수입항목",IF(I2="헌금","자체헌금",IF(I2="교회보조금","교회보조금","기타")),"")</calculatedColumnFormula>
    </tableColumn>
    <tableColumn id="12" xr3:uid="{6B307BBD-AB33-431F-B8AE-2A44089ED1EB}" name="월" dataDxfId="22" dataCellStyle="쉼표 [0]">
      <calculatedColumnFormula>MONTH(A2)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L3"/>
  <sheetViews>
    <sheetView tabSelected="1" zoomScale="85" zoomScaleNormal="85" workbookViewId="0">
      <pane ySplit="1" topLeftCell="A2" activePane="bottomLeft" state="frozen"/>
      <selection activeCell="H5" sqref="H5:H6"/>
      <selection pane="bottomLeft" activeCell="A3" sqref="A3"/>
    </sheetView>
  </sheetViews>
  <sheetFormatPr defaultColWidth="9" defaultRowHeight="24" customHeight="1"/>
  <cols>
    <col min="1" max="1" width="9.25" style="57" customWidth="1"/>
    <col min="2" max="2" width="36.25" style="92" customWidth="1"/>
    <col min="3" max="4" width="17.375" style="58" customWidth="1"/>
    <col min="5" max="5" width="19.125" style="60" customWidth="1"/>
    <col min="6" max="6" width="30" style="59" customWidth="1"/>
    <col min="7" max="7" width="13.375" style="198" bestFit="1" customWidth="1"/>
    <col min="8" max="8" width="14.25" style="198" hidden="1" customWidth="1"/>
    <col min="9" max="9" width="21.25" style="199" bestFit="1" customWidth="1"/>
    <col min="10" max="10" width="27.875" style="199" customWidth="1"/>
    <col min="11" max="11" width="15.125" style="200" customWidth="1"/>
    <col min="12" max="12" width="8.375" style="198" bestFit="1" customWidth="1"/>
    <col min="13" max="16384" width="9" style="56"/>
  </cols>
  <sheetData>
    <row r="1" spans="1:12" s="55" customFormat="1" ht="24" customHeight="1" thickBot="1">
      <c r="A1" s="126" t="s">
        <v>1</v>
      </c>
      <c r="B1" s="119" t="s">
        <v>2</v>
      </c>
      <c r="C1" s="120" t="s">
        <v>3</v>
      </c>
      <c r="D1" s="120" t="s">
        <v>4</v>
      </c>
      <c r="E1" s="121" t="s">
        <v>40</v>
      </c>
      <c r="F1" s="62" t="s">
        <v>5</v>
      </c>
      <c r="G1" s="189" t="s">
        <v>10</v>
      </c>
      <c r="H1" s="190" t="s">
        <v>111</v>
      </c>
      <c r="I1" s="191" t="s">
        <v>8</v>
      </c>
      <c r="J1" s="191" t="s">
        <v>7</v>
      </c>
      <c r="K1" s="190" t="s">
        <v>11</v>
      </c>
      <c r="L1" s="190" t="s">
        <v>12</v>
      </c>
    </row>
    <row r="2" spans="1:12" ht="24" customHeight="1" thickTop="1" thickBot="1">
      <c r="A2" s="127">
        <v>44197</v>
      </c>
      <c r="B2" s="122" t="s">
        <v>13</v>
      </c>
      <c r="C2" s="123">
        <v>100</v>
      </c>
      <c r="D2" s="123"/>
      <c r="E2" s="123">
        <f>C2-D2</f>
        <v>100</v>
      </c>
      <c r="F2" s="61"/>
      <c r="G2" s="192" t="str">
        <f>IF(ISBLANK(C2),"지출항목","수입항목")</f>
        <v>수입항목</v>
      </c>
      <c r="H2" s="193">
        <f>IF(회계장부!$G2="수입항목",0,23)</f>
        <v>0</v>
      </c>
      <c r="I2" s="194" t="s">
        <v>113</v>
      </c>
      <c r="J2" s="195" t="s">
        <v>113</v>
      </c>
      <c r="K2" s="195" t="str">
        <f>IF(G2="수입항목",IF(I2="헌금","자체헌금",IF(I2="교회보조금","교회보조금","기타")),"")</f>
        <v>기타</v>
      </c>
      <c r="L2" s="193">
        <f t="shared" ref="L2:L3" si="0">MONTH(A2)</f>
        <v>1</v>
      </c>
    </row>
    <row r="3" spans="1:12" ht="24" customHeight="1" thickTop="1">
      <c r="A3" s="127">
        <v>44227</v>
      </c>
      <c r="B3" s="124" t="s">
        <v>141</v>
      </c>
      <c r="C3" s="125">
        <v>200</v>
      </c>
      <c r="D3" s="125"/>
      <c r="E3" s="123">
        <f t="shared" ref="E3" si="1">E2+C3-D3</f>
        <v>300</v>
      </c>
      <c r="F3" s="61"/>
      <c r="G3" s="196" t="str">
        <f t="shared" ref="G3" si="2">IF(ISBLANK(C3),"지출항목","수입항목")</f>
        <v>수입항목</v>
      </c>
      <c r="H3" s="193">
        <f>IF(회계장부!$G3="수입항목",0,23)</f>
        <v>0</v>
      </c>
      <c r="I3" s="194" t="s">
        <v>112</v>
      </c>
      <c r="J3" s="194" t="s">
        <v>141</v>
      </c>
      <c r="K3" s="194" t="str">
        <f t="shared" ref="K3" si="3">IF(G3="수입항목",IF(I3="헌금","자체헌금",IF(I3="교회보조금","교회보조금","기타")),"")</f>
        <v>기타</v>
      </c>
      <c r="L3" s="197">
        <f t="shared" si="0"/>
        <v>1</v>
      </c>
    </row>
  </sheetData>
  <phoneticPr fontId="2" type="noConversion"/>
  <conditionalFormatting sqref="A2:L2 K3 A4:L1048576">
    <cfRule type="expression" dxfId="46" priority="46812">
      <formula>MOD(ROW($A2),2)=0</formula>
    </cfRule>
  </conditionalFormatting>
  <conditionalFormatting sqref="G3">
    <cfRule type="expression" dxfId="45" priority="215">
      <formula>MOD(ROW($A3),2)=0</formula>
    </cfRule>
  </conditionalFormatting>
  <conditionalFormatting sqref="L3 I3:J3">
    <cfRule type="expression" dxfId="44" priority="212">
      <formula>MOD(ROW($A3),2)=0</formula>
    </cfRule>
  </conditionalFormatting>
  <conditionalFormatting sqref="I2:J1048576">
    <cfRule type="expression" dxfId="43" priority="62">
      <formula>AND(LEN($A2)&gt;0,LEN($B2)&gt;0,I2=0,OR($C2&gt;0,$D2&gt;0))</formula>
    </cfRule>
  </conditionalFormatting>
  <conditionalFormatting sqref="F3">
    <cfRule type="expression" dxfId="42" priority="47">
      <formula>MOD(ROW($A3),2)=0</formula>
    </cfRule>
  </conditionalFormatting>
  <conditionalFormatting sqref="E3">
    <cfRule type="expression" dxfId="41" priority="46">
      <formula>MOD(ROW($A3),2)=0</formula>
    </cfRule>
  </conditionalFormatting>
  <conditionalFormatting sqref="A3">
    <cfRule type="expression" dxfId="40" priority="32">
      <formula>MOD(ROW($A3),2)=0</formula>
    </cfRule>
  </conditionalFormatting>
  <conditionalFormatting sqref="B3:D3">
    <cfRule type="expression" dxfId="39" priority="31">
      <formula>MOD(ROW($A3),2)=0</formula>
    </cfRule>
  </conditionalFormatting>
  <conditionalFormatting sqref="H3">
    <cfRule type="expression" dxfId="38" priority="24">
      <formula>MOD(ROW($A3),2)=0</formula>
    </cfRule>
  </conditionalFormatting>
  <conditionalFormatting sqref="I2">
    <cfRule type="expression" dxfId="37" priority="23">
      <formula>MOD(ROW($A2),2)=0</formula>
    </cfRule>
  </conditionalFormatting>
  <dataValidations count="1">
    <dataValidation type="list" allowBlank="1" showInputMessage="1" showErrorMessage="1" sqref="G2:G3" xr:uid="{8D293E6B-8657-4FE5-9897-2E713236E5C9}">
      <formula1>"수입항목,지출항목"</formula1>
    </dataValidation>
  </dataValidations>
  <pageMargins left="0.31496062992125984" right="0.19685039370078741" top="0.74803149606299213" bottom="0.74803149606299213" header="0.31496062992125984" footer="0.31496062992125984"/>
  <pageSetup paperSize="9" scale="1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346B5C8-B342-4715-BFD0-C953C402D6ED}">
          <x14:formula1>
            <xm:f>OFFSET(회계코드!$A$3,$H2+1,MATCH($I2,OFFSET(회계코드!$A$3,$H2,,1,COUNTA(OFFSET(회계코드!$A$3,$H2,,1,15))),0)-1,COUNTA(OFFSET(회계코드!$A$3,$H2+1,MATCH($I2,OFFSET(회계코드!$A$3,$H2,,1,COUNTA(OFFSET(회계코드!$A$3,$H2,,1,15))),0)-1,20,1)),1)</xm:f>
          </x14:formula1>
          <xm:sqref>J2:J1048576</xm:sqref>
        </x14:dataValidation>
        <x14:dataValidation type="list" allowBlank="1" showInputMessage="1" showErrorMessage="1" xr:uid="{A404F419-F945-4AEA-8A34-D8FA33E45A8E}">
          <x14:formula1>
            <xm:f>OFFSET(회계코드!$A$3,$H2,,1,COUNTA(OFFSET(회계코드!$A$3,$H2,,1,15)))</xm:f>
          </x14:formula1>
          <xm:sqref>I2:I1048576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O48"/>
  <sheetViews>
    <sheetView topLeftCell="A25" zoomScaleNormal="100" workbookViewId="0">
      <selection activeCell="F9" sqref="F9:G9"/>
    </sheetView>
  </sheetViews>
  <sheetFormatPr defaultColWidth="9" defaultRowHeight="24.95" customHeight="1"/>
  <cols>
    <col min="1" max="1" width="7.75" style="1" customWidth="1"/>
    <col min="2" max="2" width="9.125" style="1" customWidth="1"/>
    <col min="3" max="3" width="18" style="2" customWidth="1"/>
    <col min="4" max="4" width="9.125" style="2" customWidth="1"/>
    <col min="5" max="5" width="4.75" style="2" customWidth="1"/>
    <col min="6" max="6" width="15.125" style="1" customWidth="1"/>
    <col min="7" max="7" width="8.75" style="1" customWidth="1"/>
    <col min="8" max="8" width="19.75" style="1" customWidth="1"/>
    <col min="9" max="9" width="9" style="1"/>
    <col min="10" max="10" width="11.125" style="97" hidden="1" customWidth="1"/>
    <col min="11" max="11" width="11.5" style="97" hidden="1" customWidth="1"/>
    <col min="12" max="12" width="11.25" style="97" hidden="1" customWidth="1"/>
    <col min="13" max="14" width="9" style="1"/>
    <col min="15" max="15" width="10.875" style="1" bestFit="1" customWidth="1"/>
    <col min="16" max="16384" width="9" style="1"/>
  </cols>
  <sheetData>
    <row r="1" spans="1:12" ht="41.25" customHeight="1">
      <c r="A1" s="299" t="s">
        <v>0</v>
      </c>
      <c r="B1" s="300"/>
      <c r="C1" s="300"/>
      <c r="D1" s="300"/>
      <c r="E1" s="300"/>
      <c r="F1" s="300"/>
      <c r="G1" s="300"/>
      <c r="H1" s="300"/>
    </row>
    <row r="2" spans="1:12" ht="15.75" customHeight="1" thickBot="1">
      <c r="A2" s="245" t="str">
        <f>IF(K15&gt;33,"동일자에 지출항목이 33개를 초과할 수 없습니다",IF(L15&gt;21,"동일자에 입금항목이 21개를 초과할 수 없습니다.",""))</f>
        <v/>
      </c>
      <c r="B2" s="245"/>
      <c r="C2" s="245"/>
      <c r="D2" s="245"/>
      <c r="E2" s="245"/>
      <c r="F2" s="245"/>
      <c r="G2" s="245"/>
      <c r="H2" s="245"/>
    </row>
    <row r="3" spans="1:12" ht="24.95" customHeight="1">
      <c r="A3" s="46" t="s">
        <v>16</v>
      </c>
      <c r="B3" s="257">
        <v>44227</v>
      </c>
      <c r="C3" s="257"/>
      <c r="D3" s="257"/>
      <c r="E3" s="257"/>
      <c r="F3" s="259" t="s">
        <v>17</v>
      </c>
      <c r="G3" s="259"/>
      <c r="H3" s="3"/>
    </row>
    <row r="4" spans="1:12" ht="24.95" customHeight="1" thickBot="1">
      <c r="A4" s="4" t="s">
        <v>18</v>
      </c>
      <c r="B4" s="50"/>
      <c r="C4" s="51"/>
      <c r="D4" s="51" t="s">
        <v>19</v>
      </c>
      <c r="E4" s="258"/>
      <c r="F4" s="258"/>
      <c r="G4" s="50" t="s">
        <v>20</v>
      </c>
      <c r="H4" s="52"/>
    </row>
    <row r="5" spans="1:12" ht="24.95" customHeight="1" thickBot="1">
      <c r="A5" s="49" t="s">
        <v>21</v>
      </c>
      <c r="B5" s="54" t="s">
        <v>22</v>
      </c>
      <c r="C5" s="260" t="str">
        <f ca="1">NUMBERSTRING(H14,1) &amp; " 원정"</f>
        <v>영 원정</v>
      </c>
      <c r="D5" s="260"/>
      <c r="E5" s="260"/>
      <c r="F5" s="260"/>
      <c r="G5" s="261">
        <f ca="1">H14</f>
        <v>0</v>
      </c>
      <c r="H5" s="262"/>
    </row>
    <row r="6" spans="1:12" ht="24.95" customHeight="1">
      <c r="A6" s="246" t="s">
        <v>23</v>
      </c>
      <c r="B6" s="253" t="str">
        <f>IF(K16&lt;&gt;"",INDEX(회계장부!$B:$B,K16,1),"")</f>
        <v/>
      </c>
      <c r="C6" s="254"/>
      <c r="D6" s="248" t="str">
        <f>IF(K16&lt;&gt;"",INDEX(회계장부!$D:$D,K16,1),"")</f>
        <v/>
      </c>
      <c r="E6" s="249"/>
      <c r="F6" s="254" t="str">
        <f ca="1">IF(K25&lt;&gt;"",INDEX(회계장부!$B:$B,K25,1),"")</f>
        <v/>
      </c>
      <c r="G6" s="254"/>
      <c r="H6" s="53" t="str">
        <f ca="1">IF(K25&lt;&gt;"",INDEX(회계장부!$D:$D,K25,1),"")</f>
        <v/>
      </c>
    </row>
    <row r="7" spans="1:12" ht="24.95" customHeight="1">
      <c r="A7" s="247"/>
      <c r="B7" s="255" t="str">
        <f ca="1">IF(K17&lt;&gt;"",INDEX(회계장부!$B:$B,K17,1),"")</f>
        <v/>
      </c>
      <c r="C7" s="256"/>
      <c r="D7" s="250" t="str">
        <f ca="1">IF(K17&lt;&gt;"",INDEX(회계장부!$D:$D,K17,1),"")</f>
        <v/>
      </c>
      <c r="E7" s="250"/>
      <c r="F7" s="266" t="str">
        <f ca="1">IF(K26&lt;&gt;"",INDEX(회계장부!$B:$B,K26,1),"")</f>
        <v/>
      </c>
      <c r="G7" s="266"/>
      <c r="H7" s="7" t="str">
        <f ca="1">IF(K26&lt;&gt;"",INDEX(회계장부!$D:$D,K26,1),"")</f>
        <v/>
      </c>
    </row>
    <row r="8" spans="1:12" ht="24.95" customHeight="1">
      <c r="A8" s="247"/>
      <c r="B8" s="255" t="str">
        <f ca="1">IF(K18&lt;&gt;"",INDEX(회계장부!$B:$B,K18,1),"")</f>
        <v/>
      </c>
      <c r="C8" s="256"/>
      <c r="D8" s="250" t="str">
        <f ca="1">IF(K18&lt;&gt;"",INDEX(회계장부!$D:$D,K18,1),"")</f>
        <v/>
      </c>
      <c r="E8" s="250"/>
      <c r="F8" s="266" t="str">
        <f ca="1">IF(K27&lt;&gt;"",INDEX(회계장부!$B:$B,K27,1),"")</f>
        <v/>
      </c>
      <c r="G8" s="266"/>
      <c r="H8" s="7" t="str">
        <f ca="1">IF(K27&lt;&gt;"",INDEX(회계장부!$D:$D,K27,1),"")</f>
        <v/>
      </c>
    </row>
    <row r="9" spans="1:12" ht="24.95" customHeight="1">
      <c r="A9" s="247"/>
      <c r="B9" s="255" t="str">
        <f ca="1">IF(K19&lt;&gt;"",INDEX(회계장부!$B:$B,K19,1),"")</f>
        <v/>
      </c>
      <c r="C9" s="256"/>
      <c r="D9" s="250" t="str">
        <f ca="1">IF(K19&lt;&gt;"",INDEX(회계장부!$D:$D,K19,1),"")</f>
        <v/>
      </c>
      <c r="E9" s="250"/>
      <c r="F9" s="266" t="str">
        <f ca="1">IF(K28&lt;&gt;"",INDEX(회계장부!$B:$B,K28,1),"")</f>
        <v/>
      </c>
      <c r="G9" s="266"/>
      <c r="H9" s="7" t="str">
        <f ca="1">IF(K28&lt;&gt;"",INDEX(회계장부!$D:$D,K28,1),"")</f>
        <v/>
      </c>
    </row>
    <row r="10" spans="1:12" ht="24.95" customHeight="1">
      <c r="A10" s="247"/>
      <c r="B10" s="255" t="str">
        <f ca="1">IF(K20&lt;&gt;"",INDEX(회계장부!$B:$B,K20,1),"")</f>
        <v/>
      </c>
      <c r="C10" s="256"/>
      <c r="D10" s="250" t="str">
        <f ca="1">IF(K20&lt;&gt;"",INDEX(회계장부!$D:$D,K20,1),"")</f>
        <v/>
      </c>
      <c r="E10" s="250"/>
      <c r="F10" s="266" t="str">
        <f ca="1">IF(K29&lt;&gt;"",INDEX(회계장부!$B:$B,K29,1),"")</f>
        <v/>
      </c>
      <c r="G10" s="266"/>
      <c r="H10" s="7" t="str">
        <f ca="1">IF(K29&lt;&gt;"",INDEX(회계장부!$D:$D,K29,1),"")</f>
        <v/>
      </c>
    </row>
    <row r="11" spans="1:12" ht="24.95" customHeight="1">
      <c r="A11" s="247"/>
      <c r="B11" s="255" t="str">
        <f ca="1">IF(K21&lt;&gt;"",INDEX(회계장부!$B:$B,K21,1),"")</f>
        <v/>
      </c>
      <c r="C11" s="256"/>
      <c r="D11" s="250" t="str">
        <f ca="1">IF(K21&lt;&gt;"",INDEX(회계장부!$D:$D,K21,1),"")</f>
        <v/>
      </c>
      <c r="E11" s="250"/>
      <c r="F11" s="266" t="str">
        <f ca="1">IF(K30&lt;&gt;"",INDEX(회계장부!$B:$B,K30,1),"")</f>
        <v/>
      </c>
      <c r="G11" s="266"/>
      <c r="H11" s="7" t="str">
        <f ca="1">IF(K30&lt;&gt;"",INDEX(회계장부!$D:$D,K30,1),"")</f>
        <v/>
      </c>
    </row>
    <row r="12" spans="1:12" ht="24.95" customHeight="1">
      <c r="A12" s="247"/>
      <c r="B12" s="255" t="str">
        <f ca="1">IF(K22&lt;&gt;"",INDEX(회계장부!$B:$B,K22,1),"")</f>
        <v/>
      </c>
      <c r="C12" s="256"/>
      <c r="D12" s="250" t="str">
        <f ca="1">IF(K22&lt;&gt;"",INDEX(회계장부!$D:$D,K22,1),"")</f>
        <v/>
      </c>
      <c r="E12" s="250"/>
      <c r="F12" s="266" t="str">
        <f ca="1">IF(K31&lt;&gt;"",INDEX(회계장부!$B:$B,K31,1),"")</f>
        <v/>
      </c>
      <c r="G12" s="266"/>
      <c r="H12" s="7" t="str">
        <f ca="1">IF(K31&lt;&gt;"",INDEX(회계장부!$D:$D,K31,1),"")</f>
        <v/>
      </c>
      <c r="L12" s="98"/>
    </row>
    <row r="13" spans="1:12" ht="24.95" customHeight="1" thickBot="1">
      <c r="A13" s="247"/>
      <c r="B13" s="255" t="str">
        <f ca="1">IF(K23&lt;&gt;"",INDEX(회계장부!$B:$B,K23,1),"")</f>
        <v/>
      </c>
      <c r="C13" s="256"/>
      <c r="D13" s="250" t="str">
        <f ca="1">IF(K23&lt;&gt;"",INDEX(회계장부!$D:$D,K23,1),"")</f>
        <v/>
      </c>
      <c r="E13" s="250"/>
      <c r="F13" s="267" t="str">
        <f ca="1">IF(K15&gt;17,"&lt;&lt; 다음면에 계속 &gt;&gt;",IF(K32&lt;&gt;"",INDEX(회계장부!$B:$B,K32,1),""))</f>
        <v/>
      </c>
      <c r="G13" s="267"/>
      <c r="H13" s="47" t="str">
        <f ca="1">IF(K15&gt;17,"",IF(K32&lt;&gt;"",INDEX(회계장부!$D:$D,K32,1),""))</f>
        <v/>
      </c>
      <c r="J13" s="99">
        <f>COUNTA(회계장부!$A:$A)</f>
        <v>3</v>
      </c>
      <c r="K13" s="99"/>
      <c r="L13" s="100"/>
    </row>
    <row r="14" spans="1:12" ht="24.95" customHeight="1" thickBot="1">
      <c r="A14" s="247"/>
      <c r="B14" s="297" t="str">
        <f ca="1">IF(K24&lt;&gt;"",INDEX(회계장부!$B:$B,K24,1),"")</f>
        <v/>
      </c>
      <c r="C14" s="298"/>
      <c r="D14" s="251" t="str">
        <f ca="1">IF(K24&lt;&gt;"",INDEX(회계장부!$D:$D,K24,1),"")</f>
        <v/>
      </c>
      <c r="E14" s="252"/>
      <c r="F14" s="268" t="s">
        <v>109</v>
      </c>
      <c r="G14" s="269"/>
      <c r="H14" s="48">
        <f ca="1">IF(A2="",IF(K15&gt;17,SUM(D6:E14,H6:H12,'결의서(추가)'!D6:E14,'결의서(추가)'!H6:H13),SUM('결의서(기본)'!D6:E14,'결의서(기본)'!H6:H13)),"에러입니다")</f>
        <v>0</v>
      </c>
      <c r="J14" s="99"/>
      <c r="K14" s="101" t="s">
        <v>53</v>
      </c>
      <c r="L14" s="102" t="s">
        <v>107</v>
      </c>
    </row>
    <row r="15" spans="1:12" ht="24.95" customHeight="1" thickTop="1" thickBot="1">
      <c r="A15" s="247" t="s">
        <v>25</v>
      </c>
      <c r="B15" s="271" t="s">
        <v>26</v>
      </c>
      <c r="C15" s="271"/>
      <c r="D15" s="278" t="s">
        <v>45</v>
      </c>
      <c r="E15" s="278"/>
      <c r="F15" s="279"/>
      <c r="G15" s="263" t="s">
        <v>27</v>
      </c>
      <c r="H15" s="264"/>
      <c r="J15" s="105" t="s">
        <v>108</v>
      </c>
      <c r="K15" s="103">
        <f>COUNTIFS(회계장부!$A:$A,기준일자,회계장부!$G:$G,K$14)</f>
        <v>0</v>
      </c>
      <c r="L15" s="104">
        <f>COUNTIFS(회계장부!$A:$A,기준일자,회계장부!$G:$G,L$14)</f>
        <v>1</v>
      </c>
    </row>
    <row r="16" spans="1:12" ht="24.95" customHeight="1">
      <c r="A16" s="247"/>
      <c r="B16" s="5" t="s">
        <v>28</v>
      </c>
      <c r="C16" s="8">
        <f>SUMIFS(회계장부!C:C,회계장부!K:K,"자체헌금",회계장부!A:A,기준일자)</f>
        <v>0</v>
      </c>
      <c r="D16" s="5" t="s">
        <v>28</v>
      </c>
      <c r="E16" s="265">
        <f>SUMIFS(회계장부!C:C,회계장부!K:K,"교회보조금",회계장부!A:A,기준일자)</f>
        <v>0</v>
      </c>
      <c r="F16" s="265"/>
      <c r="G16" s="5" t="s">
        <v>28</v>
      </c>
      <c r="H16" s="9">
        <f>SUMIFS(회계장부!C:C,회계장부!K:K,"기타",회계장부!A:A,기준일자)</f>
        <v>200</v>
      </c>
      <c r="J16" s="105">
        <v>1</v>
      </c>
      <c r="K16" s="106" t="str">
        <f t="array" ref="K16">IF($J16&lt;=K$15,MATCH(1,(회계장부!$A:$A=기준일자)*(회계장부!$G:$G=K$14),0),"")</f>
        <v/>
      </c>
      <c r="L16" s="106">
        <f t="array" ref="L16">IF($J16&lt;=L$15,MATCH(1,(회계장부!$A:$A=기준일자)*(회계장부!$G:$G=L$14),0),"")</f>
        <v>3</v>
      </c>
    </row>
    <row r="17" spans="1:15" ht="24.95" customHeight="1">
      <c r="A17" s="247"/>
      <c r="B17" s="5" t="s">
        <v>29</v>
      </c>
      <c r="C17" s="8">
        <f>SUMIFS(회계장부!C:C,회계장부!K:K,"자체헌금",회계장부!A:A,"&lt;="&amp;기준일자)</f>
        <v>0</v>
      </c>
      <c r="D17" s="5" t="s">
        <v>29</v>
      </c>
      <c r="E17" s="265">
        <f>SUMIFS(회계장부!C:C,회계장부!K:K,"교회보조금",회계장부!A:A,"&lt;="&amp;기준일자)</f>
        <v>0</v>
      </c>
      <c r="F17" s="265"/>
      <c r="G17" s="5" t="s">
        <v>29</v>
      </c>
      <c r="H17" s="9">
        <f>SUMIFS(회계장부!C:C,회계장부!K:K,"기타",회계장부!A:A,"&lt;="&amp;기준일자)</f>
        <v>300</v>
      </c>
      <c r="J17" s="105">
        <v>2</v>
      </c>
      <c r="K17" s="107" t="str">
        <f t="array" aca="1" ref="K17" ca="1">IF($J17&lt;=K$15,MATCH(1,(OFFSET(회계장부!$A$1,K16,,$J$13-K16+1,)=기준일자)*(OFFSET(회계장부!$G$1,K16,,$J$13-K16+1,)=K$14),0)+K16,"")</f>
        <v/>
      </c>
      <c r="L17" s="107" t="str">
        <f t="array" aca="1" ref="L17" ca="1">IF($J17&lt;=L$15,MATCH(1,(OFFSET(회계장부!$A$1,L16,,$J$13-L16+1,)=기준일자)*(OFFSET(회계장부!$G$1,L16,,$J$13-L16+1,)=L$14),0)+L16,"")</f>
        <v/>
      </c>
      <c r="O17" s="11"/>
    </row>
    <row r="18" spans="1:15" ht="24.95" customHeight="1">
      <c r="A18" s="247" t="s">
        <v>30</v>
      </c>
      <c r="B18" s="5" t="s">
        <v>28</v>
      </c>
      <c r="C18" s="8">
        <f>SUMIFS(회계장부!D:D,회계장부!G:G,"지출항목",회계장부!A:A,기준일자)</f>
        <v>0</v>
      </c>
      <c r="D18" s="10" t="s">
        <v>31</v>
      </c>
      <c r="E18" s="280">
        <f>C17+E17+H17</f>
        <v>300</v>
      </c>
      <c r="F18" s="281"/>
      <c r="G18" s="271" t="s">
        <v>32</v>
      </c>
      <c r="H18" s="275"/>
      <c r="J18" s="105">
        <v>3</v>
      </c>
      <c r="K18" s="107" t="str">
        <f t="array" aca="1" ref="K18" ca="1">IF($J18&lt;=K$15,MATCH(1,(OFFSET(회계장부!$A$1,K17,,$J$13-K17+1,)=기준일자)*(OFFSET(회계장부!$G$1,K17,,$J$13-K17+1,)=K$14),0)+K17,"")</f>
        <v/>
      </c>
      <c r="L18" s="107" t="str">
        <f t="array" aca="1" ref="L18" ca="1">IF($J18&lt;=L$15,MATCH(1,(OFFSET(회계장부!$A$1,L17,,$J$13-L17+1,)=기준일자)*(OFFSET(회계장부!$G$1,L17,,$J$13-L17+1,)=L$14),0)+L17,"")</f>
        <v/>
      </c>
    </row>
    <row r="19" spans="1:15" ht="24.95" customHeight="1">
      <c r="A19" s="247"/>
      <c r="B19" s="5" t="s">
        <v>29</v>
      </c>
      <c r="C19" s="8">
        <f>SUMIFS(회계장부!D:D,회계장부!G:G,"지출항목",회계장부!A:A,"&lt;="&amp;기준일자)</f>
        <v>0</v>
      </c>
      <c r="D19" s="10" t="s">
        <v>33</v>
      </c>
      <c r="E19" s="280">
        <f>C17+E17+H17-C19</f>
        <v>300</v>
      </c>
      <c r="F19" s="281"/>
      <c r="G19" s="276" t="s">
        <v>34</v>
      </c>
      <c r="H19" s="277"/>
      <c r="J19" s="105">
        <v>4</v>
      </c>
      <c r="K19" s="107" t="str">
        <f t="array" aca="1" ref="K19" ca="1">IF($J19&lt;=K$15,MATCH(1,(OFFSET(회계장부!$A$1,K18,,$J$13-K18+1,)=기준일자)*(OFFSET(회계장부!$G$1,K18,,$J$13-K18+1,)=K$14),0)+K18,"")</f>
        <v/>
      </c>
      <c r="L19" s="107" t="str">
        <f t="array" aca="1" ref="L19" ca="1">IF($J19&lt;=L$15,MATCH(1,(OFFSET(회계장부!$A$1,L18,,$J$13-L18+1,)=기준일자)*(OFFSET(회계장부!$G$1,L18,,$J$13-L18+1,)=L$14),0)+L18,"")</f>
        <v/>
      </c>
    </row>
    <row r="20" spans="1:15" ht="24.95" customHeight="1">
      <c r="A20" s="246" t="s">
        <v>35</v>
      </c>
      <c r="B20" s="272" t="str">
        <f>IF(L16&lt;&gt;"",INDEX(회계장부!$B:$B,L16,1),"")</f>
        <v>회비</v>
      </c>
      <c r="C20" s="273"/>
      <c r="D20" s="285">
        <f>IF(L16&lt;&gt;"",INDEX(회계장부!$C:$C,L16,1),"")</f>
        <v>200</v>
      </c>
      <c r="E20" s="286"/>
      <c r="F20" s="273" t="str">
        <f ca="1">IF(L22&lt;&gt;"",INDEX(회계장부!$B:$B,L22,1),"")</f>
        <v/>
      </c>
      <c r="G20" s="273"/>
      <c r="H20" s="6" t="str">
        <f ca="1">IF(L22&lt;&gt;"",INDEX(회계장부!$C:$C,L22,1),"")</f>
        <v/>
      </c>
      <c r="J20" s="105">
        <v>5</v>
      </c>
      <c r="K20" s="107" t="str">
        <f t="array" aca="1" ref="K20" ca="1">IF($J20&lt;=K$15,MATCH(1,(OFFSET(회계장부!$A$1,K19,,$J$13-K19+1,)=기준일자)*(OFFSET(회계장부!$G$1,K19,,$J$13-K19+1,)=K$14),0)+K19,"")</f>
        <v/>
      </c>
      <c r="L20" s="107" t="str">
        <f t="array" aca="1" ref="L20" ca="1">IF($J20&lt;=L$15,MATCH(1,(OFFSET(회계장부!$A$1,L19,,$J$13-L19+1,)=기준일자)*(OFFSET(회계장부!$G$1,L19,,$J$13-L19+1,)=L$14),0)+L19,"")</f>
        <v/>
      </c>
      <c r="N20" s="109"/>
    </row>
    <row r="21" spans="1:15" ht="24.95" customHeight="1">
      <c r="A21" s="247"/>
      <c r="B21" s="274" t="str">
        <f ca="1">IF(L17&lt;&gt;"",INDEX(회계장부!$B:$B,L17,1),"")</f>
        <v/>
      </c>
      <c r="C21" s="266"/>
      <c r="D21" s="287" t="str">
        <f ca="1">IF(L17&lt;&gt;"",INDEX(회계장부!$C:$C,L17,1),"")</f>
        <v/>
      </c>
      <c r="E21" s="288"/>
      <c r="F21" s="282" t="str">
        <f ca="1">IF(L23&lt;&gt;"",INDEX(회계장부!$B:$B,L23,1),"")</f>
        <v/>
      </c>
      <c r="G21" s="256"/>
      <c r="H21" s="7" t="str">
        <f ca="1">IF(L23&lt;&gt;"",INDEX(회계장부!$C:$C,L23,1),"")</f>
        <v/>
      </c>
      <c r="J21" s="105">
        <v>6</v>
      </c>
      <c r="K21" s="107" t="str">
        <f t="array" aca="1" ref="K21" ca="1">IF($J21&lt;=K$15,MATCH(1,(OFFSET(회계장부!$A$1,K20,,$J$13-K20+1,)=기준일자)*(OFFSET(회계장부!$G$1,K20,,$J$13-K20+1,)=K$14),0)+K20,"")</f>
        <v/>
      </c>
      <c r="L21" s="107" t="str">
        <f t="array" aca="1" ref="L21" ca="1">IF($J21&lt;=L$15,MATCH(1,(OFFSET(회계장부!$A$1,L20,,$J$13-L20+1,)=기준일자)*(OFFSET(회계장부!$G$1,L20,,$J$13-L20+1,)=L$14),0)+L20,"")</f>
        <v/>
      </c>
    </row>
    <row r="22" spans="1:15" ht="24.95" customHeight="1">
      <c r="A22" s="247"/>
      <c r="B22" s="274" t="str">
        <f ca="1">IF(L18&lt;&gt;"",INDEX(회계장부!$B:$B,L18,1),"")</f>
        <v/>
      </c>
      <c r="C22" s="266"/>
      <c r="D22" s="287" t="str">
        <f ca="1">IF(L18&lt;&gt;"",INDEX(회계장부!$C:$C,L18,1),"")</f>
        <v/>
      </c>
      <c r="E22" s="288"/>
      <c r="F22" s="282" t="str">
        <f ca="1">IF(L24&lt;&gt;"",INDEX(회계장부!$B:$B,L24,1),"")</f>
        <v/>
      </c>
      <c r="G22" s="256"/>
      <c r="H22" s="7" t="str">
        <f ca="1">IF(L24&lt;&gt;"",INDEX(회계장부!$C:$C,L24,1),"")</f>
        <v/>
      </c>
      <c r="J22" s="105">
        <v>7</v>
      </c>
      <c r="K22" s="107" t="str">
        <f t="array" aca="1" ref="K22" ca="1">IF($J22&lt;=K$15,MATCH(1,(OFFSET(회계장부!$A$1,K21,,$J$13-K21+1,)=기준일자)*(OFFSET(회계장부!$G$1,K21,,$J$13-K21+1,)=K$14),0)+K21,"")</f>
        <v/>
      </c>
      <c r="L22" s="107" t="str">
        <f t="array" aca="1" ref="L22" ca="1">IF($J22&lt;=L$15,MATCH(1,(OFFSET(회계장부!$A$1,L21,,$J$13-L21+1,)=기준일자)*(OFFSET(회계장부!$G$1,L21,,$J$13-L21+1,)=L$14),0)+L21,"")</f>
        <v/>
      </c>
    </row>
    <row r="23" spans="1:15" ht="24.95" customHeight="1">
      <c r="A23" s="247"/>
      <c r="B23" s="274" t="str">
        <f ca="1">IF(L19&lt;&gt;"",INDEX(회계장부!$B:$B,L19,1),"")</f>
        <v/>
      </c>
      <c r="C23" s="266"/>
      <c r="D23" s="287" t="str">
        <f ca="1">IF(L19&lt;&gt;"",INDEX(회계장부!$C:$C,L19,1),"")</f>
        <v/>
      </c>
      <c r="E23" s="288"/>
      <c r="F23" s="282" t="str">
        <f ca="1">IF(L25&lt;&gt;"",INDEX(회계장부!$B:$B,L25,1),"")</f>
        <v/>
      </c>
      <c r="G23" s="256"/>
      <c r="H23" s="7" t="str">
        <f ca="1">IF(L25&lt;&gt;"",INDEX(회계장부!$C:$C,L25,1),"")</f>
        <v/>
      </c>
      <c r="J23" s="105">
        <v>8</v>
      </c>
      <c r="K23" s="107" t="str">
        <f t="array" aca="1" ref="K23" ca="1">IF($J23&lt;=K$15,MATCH(1,(OFFSET(회계장부!$A$1,K22,,$J$13-K22+1,)=기준일자)*(OFFSET(회계장부!$G$1,K22,,$J$13-K22+1,)=K$14),0)+K22,"")</f>
        <v/>
      </c>
      <c r="L23" s="107" t="str">
        <f t="array" aca="1" ref="L23" ca="1">IF($J23&lt;=L$15,MATCH(1,(OFFSET(회계장부!$A$1,L22,,$J$13-L22+1,)=기준일자)*(OFFSET(회계장부!$G$1,L22,,$J$13-L22+1,)=L$14),0)+L22,"")</f>
        <v/>
      </c>
    </row>
    <row r="24" spans="1:15" ht="24.95" customHeight="1" thickBot="1">
      <c r="A24" s="247"/>
      <c r="B24" s="274" t="str">
        <f ca="1">IF(L20&lt;&gt;"",INDEX(회계장부!$B:$B,L20,1),"")</f>
        <v/>
      </c>
      <c r="C24" s="266"/>
      <c r="D24" s="287" t="str">
        <f ca="1">IF(L20&lt;&gt;"",INDEX(회계장부!$C:$C,L20,1),"")</f>
        <v/>
      </c>
      <c r="E24" s="288"/>
      <c r="F24" s="283" t="str">
        <f ca="1">IF(L15&gt;11,"&lt;&lt; 다음면에 계속 &gt;&gt;",IF(L26&lt;&gt;"",INDEX(회계장부!$B:$B,L26,1),""))</f>
        <v/>
      </c>
      <c r="G24" s="284"/>
      <c r="H24" s="47" t="str">
        <f ca="1">IF(L15&gt;11,"",IF(L26&lt;&gt;"",INDEX(회계장부!$C:$C,L26,1),""))</f>
        <v/>
      </c>
      <c r="J24" s="105">
        <v>9</v>
      </c>
      <c r="K24" s="107" t="str">
        <f t="array" aca="1" ref="K24" ca="1">IF($J24&lt;=K$15,MATCH(1,(OFFSET(회계장부!$A$1,K23,,$J$13-K23+1,)=기준일자)*(OFFSET(회계장부!$G$1,K23,,$J$13-K23+1,)=K$14),0)+K23,"")</f>
        <v/>
      </c>
      <c r="L24" s="107" t="str">
        <f t="array" aca="1" ref="L24" ca="1">IF($J24&lt;=L$15,MATCH(1,(OFFSET(회계장부!$A$1,L23,,$J$13-L23+1,)=기준일자)*(OFFSET(회계장부!$G$1,L23,,$J$13-L23+1,)=L$14),0)+L23,"")</f>
        <v/>
      </c>
    </row>
    <row r="25" spans="1:15" ht="24.95" customHeight="1" thickBot="1">
      <c r="A25" s="247"/>
      <c r="B25" s="297" t="str">
        <f ca="1">IF(L21&lt;&gt;"",INDEX(회계장부!$B:$B,L21,1),"")</f>
        <v/>
      </c>
      <c r="C25" s="298"/>
      <c r="D25" s="251" t="str">
        <f ca="1">IF(L21&lt;&gt;"",INDEX(회계장부!$C:$C,L21,1),"")</f>
        <v/>
      </c>
      <c r="E25" s="252"/>
      <c r="F25" s="268" t="s">
        <v>110</v>
      </c>
      <c r="G25" s="269"/>
      <c r="H25" s="48">
        <f ca="1">IF(A2="",IF(L15&gt;11,SUM(D20:E25,H20:H23,'결의서(추가)'!D20:E25,'결의서(추가)'!H20:H24),SUM(D20:E25,H20:H24)),"에러입니다")</f>
        <v>200</v>
      </c>
      <c r="J25" s="105">
        <v>10</v>
      </c>
      <c r="K25" s="107" t="str">
        <f t="array" aca="1" ref="K25" ca="1">IF($J25&lt;=K$15,MATCH(1,(OFFSET(회계장부!$A$1,K24,,$J$13-K24+1,)=기준일자)*(OFFSET(회계장부!$G$1,K24,,$J$13-K24+1,)=K$14),0)+K24,"")</f>
        <v/>
      </c>
      <c r="L25" s="108" t="str">
        <f t="array" aca="1" ref="L25" ca="1">IF($J25&lt;=L$15,MATCH(1,(OFFSET(회계장부!$A$1,L24,,$J$13-L24+1,)=기준일자)*(OFFSET(회계장부!$G$1,L24,,$J$13-L24+1,)=L$14),0)+L24,"")</f>
        <v/>
      </c>
    </row>
    <row r="26" spans="1:15" ht="24.95" customHeight="1" thickBot="1">
      <c r="A26" s="247" t="s">
        <v>36</v>
      </c>
      <c r="B26" s="271" t="s">
        <v>37</v>
      </c>
      <c r="C26" s="271"/>
      <c r="D26" s="302" t="s">
        <v>38</v>
      </c>
      <c r="E26" s="302"/>
      <c r="F26" s="303"/>
      <c r="G26" s="304" t="s">
        <v>92</v>
      </c>
      <c r="H26" s="305"/>
      <c r="J26" s="105">
        <v>11</v>
      </c>
      <c r="K26" s="110" t="str">
        <f t="array" aca="1" ref="K26" ca="1">IF($J26&lt;=K$15,MATCH(1,(OFFSET(회계장부!$A$1,K25,,$J$13-K25+1,)=기준일자)*(OFFSET(회계장부!$G$1,K25,,$J$13-K25+1,)=K$14),0)+K25,"")</f>
        <v/>
      </c>
      <c r="L26" s="118" t="str">
        <f t="array" aca="1" ref="L26" ca="1">IF($J26&lt;=L$15,MATCH(1,(OFFSET(회계장부!$A$1,L25,,$J$13-L25+1,)=기준일자)*(OFFSET(회계장부!$G$1,L25,,$J$13-L25+1,)=L$14),0)+L25,"")</f>
        <v/>
      </c>
    </row>
    <row r="27" spans="1:15" ht="24.95" customHeight="1" thickBot="1">
      <c r="A27" s="247"/>
      <c r="B27" s="306"/>
      <c r="C27" s="307"/>
      <c r="D27" s="289"/>
      <c r="E27" s="290"/>
      <c r="F27" s="291"/>
      <c r="G27" s="271"/>
      <c r="H27" s="275"/>
      <c r="J27" s="105">
        <v>12</v>
      </c>
      <c r="K27" s="110" t="str">
        <f t="array" aca="1" ref="K27" ca="1">IF($J27&lt;=K$15,MATCH(1,(OFFSET(회계장부!$A$1,K26,,$J$13-K26+1,)=기준일자)*(OFFSET(회계장부!$G$1,K26,,$J$13-K26+1,)=K$14),0)+K26,"")</f>
        <v/>
      </c>
      <c r="L27" s="118" t="str">
        <f t="array" aca="1" ref="L27" ca="1">IF($J27&lt;=L$15,MATCH(1,(OFFSET(회계장부!$A$1,L26,,$J$13-L26+1,)=기준일자)*(OFFSET(회계장부!$G$1,L26,,$J$13-L26+1,)=L$14),0)+L26,"")</f>
        <v/>
      </c>
    </row>
    <row r="28" spans="1:15" ht="24.95" customHeight="1" thickBot="1">
      <c r="A28" s="270"/>
      <c r="B28" s="308"/>
      <c r="C28" s="309"/>
      <c r="D28" s="292"/>
      <c r="E28" s="293"/>
      <c r="F28" s="294"/>
      <c r="G28" s="295"/>
      <c r="H28" s="296"/>
      <c r="J28" s="105">
        <v>13</v>
      </c>
      <c r="K28" s="110" t="str">
        <f t="array" aca="1" ref="K28" ca="1">IF($J28&lt;=K$15,MATCH(1,(OFFSET(회계장부!$A$1,K27,,$J$13-K27+1,)=기준일자)*(OFFSET(회계장부!$G$1,K27,,$J$13-K27+1,)=K$14),0)+K27,"")</f>
        <v/>
      </c>
      <c r="L28" s="118" t="str">
        <f t="array" aca="1" ref="L28" ca="1">IF($J28&lt;=L$15,MATCH(1,(OFFSET(회계장부!$A$1,L27,,$J$13-L27+1,)=기준일자)*(OFFSET(회계장부!$G$1,L27,,$J$13-L27+1,)=L$14),0)+L27,"")</f>
        <v/>
      </c>
    </row>
    <row r="29" spans="1:15" ht="24.95" customHeight="1" thickBot="1">
      <c r="A29" s="301" t="s">
        <v>39</v>
      </c>
      <c r="B29" s="301"/>
      <c r="C29" s="301"/>
      <c r="D29" s="301"/>
      <c r="E29" s="301"/>
      <c r="F29" s="301"/>
      <c r="G29" s="301"/>
      <c r="H29" s="301"/>
      <c r="J29" s="105">
        <v>14</v>
      </c>
      <c r="K29" s="110" t="str">
        <f t="array" aca="1" ref="K29" ca="1">IF($J29&lt;=K$15,MATCH(1,(OFFSET(회계장부!$A$1,K28,,$J$13-K28+1,)=기준일자)*(OFFSET(회계장부!$G$1,K28,,$J$13-K28+1,)=K$14),0)+K28,"")</f>
        <v/>
      </c>
      <c r="L29" s="118" t="str">
        <f t="array" aca="1" ref="L29" ca="1">IF($J29&lt;=L$15,MATCH(1,(OFFSET(회계장부!$A$1,L28,,$J$13-L28+1,)=기준일자)*(OFFSET(회계장부!$G$1,L28,,$J$13-L28+1,)=L$14),0)+L28,"")</f>
        <v/>
      </c>
    </row>
    <row r="30" spans="1:15" ht="24.95" customHeight="1" thickBot="1">
      <c r="J30" s="105">
        <v>15</v>
      </c>
      <c r="K30" s="110" t="str">
        <f t="array" aca="1" ref="K30" ca="1">IF($J30&lt;=K$15,MATCH(1,(OFFSET(회계장부!$A$1,K29,,$J$13-K29+1,)=기준일자)*(OFFSET(회계장부!$G$1,K29,,$J$13-K29+1,)=K$14),0)+K29,"")</f>
        <v/>
      </c>
      <c r="L30" s="118" t="str">
        <f t="array" aca="1" ref="L30" ca="1">IF($J30&lt;=L$15,MATCH(1,(OFFSET(회계장부!$A$1,L29,,$J$13-L29+1,)=기준일자)*(OFFSET(회계장부!$G$1,L29,,$J$13-L29+1,)=L$14),0)+L29,"")</f>
        <v/>
      </c>
    </row>
    <row r="31" spans="1:15" ht="24.95" customHeight="1" thickBot="1">
      <c r="J31" s="105">
        <v>16</v>
      </c>
      <c r="K31" s="111" t="str">
        <f t="array" aca="1" ref="K31" ca="1">IF($J31&lt;=K$15,MATCH(1,(OFFSET(회계장부!$A$1,K30,,$J$13-K30+1,)=기준일자)*(OFFSET(회계장부!$G$1,K30,,$J$13-K30+1,)=K$14),0)+K30,"")</f>
        <v/>
      </c>
      <c r="L31" s="118" t="str">
        <f t="array" aca="1" ref="L31" ca="1">IF($J31&lt;=L$15,MATCH(1,(OFFSET(회계장부!$A$1,L30,,$J$13-L30+1,)=기준일자)*(OFFSET(회계장부!$G$1,L30,,$J$13-L30+1,)=L$14),0)+L30,"")</f>
        <v/>
      </c>
    </row>
    <row r="32" spans="1:15" ht="24.95" customHeight="1" thickBot="1">
      <c r="J32" s="105">
        <v>17</v>
      </c>
      <c r="K32" s="117" t="str">
        <f t="array" aca="1" ref="K32" ca="1">IF($J32&lt;=K$15,MATCH(1,(OFFSET(회계장부!$A$1,K31,,$J$13-K31+1,)=기준일자)*(OFFSET(회계장부!$G$1,K31,,$J$13-K31+1,)=K$14),0)+K31,"")</f>
        <v/>
      </c>
      <c r="L32" s="118" t="str">
        <f t="array" aca="1" ref="L32" ca="1">IF($J32&lt;=L$15,MATCH(1,(OFFSET(회계장부!$A$1,L31,,$J$13-L31+1,)=기준일자)*(OFFSET(회계장부!$G$1,L31,,$J$13-L31+1,)=L$14),0)+L31,"")</f>
        <v/>
      </c>
    </row>
    <row r="33" spans="10:12" ht="24.95" customHeight="1" thickBot="1">
      <c r="J33" s="105">
        <v>18</v>
      </c>
      <c r="K33" s="113" t="str">
        <f t="array" aca="1" ref="K33" ca="1">IF($J33&lt;=K$15,MATCH(1,(OFFSET(회계장부!$A$1,K32,,$J$13-K32+1,)=기준일자)*(OFFSET(회계장부!$G$1,K32,,$J$13-K32+1,)=K$14),0)+K32,"")</f>
        <v/>
      </c>
      <c r="L33" s="118" t="str">
        <f t="array" aca="1" ref="L33" ca="1">IF($J33&lt;=L$15,MATCH(1,(OFFSET(회계장부!$A$1,L32,,$J$13-L32+1,)=기준일자)*(OFFSET(회계장부!$G$1,L32,,$J$13-L32+1,)=L$14),0)+L32,"")</f>
        <v/>
      </c>
    </row>
    <row r="34" spans="10:12" ht="24.95" customHeight="1" thickBot="1">
      <c r="J34" s="105">
        <v>19</v>
      </c>
      <c r="K34" s="114" t="str">
        <f t="array" aca="1" ref="K34" ca="1">IF($J34&lt;=K$15,MATCH(1,(OFFSET(회계장부!$A$1,K33,,$J$13-K33+1,)=기준일자)*(OFFSET(회계장부!$G$1,K33,,$J$13-K33+1,)=K$14),0)+K33,"")</f>
        <v/>
      </c>
      <c r="L34" s="118" t="str">
        <f t="array" aca="1" ref="L34" ca="1">IF($J34&lt;=L$15,MATCH(1,(OFFSET(회계장부!$A$1,L33,,$J$13-L33+1,)=기준일자)*(OFFSET(회계장부!$G$1,L33,,$J$13-L33+1,)=L$14),0)+L33,"")</f>
        <v/>
      </c>
    </row>
    <row r="35" spans="10:12" ht="24.95" customHeight="1" thickBot="1">
      <c r="J35" s="105">
        <v>20</v>
      </c>
      <c r="K35" s="114" t="str">
        <f t="array" aca="1" ref="K35" ca="1">IF($J35&lt;=K$15,MATCH(1,(OFFSET(회계장부!$A$1,K34,,$J$13-K34+1,)=기준일자)*(OFFSET(회계장부!$G$1,K34,,$J$13-K34+1,)=K$14),0)+K34,"")</f>
        <v/>
      </c>
      <c r="L35" s="118" t="str">
        <f t="array" aca="1" ref="L35" ca="1">IF($J35&lt;=L$15,MATCH(1,(OFFSET(회계장부!$A$1,L34,,$J$13-L34+1,)=기준일자)*(OFFSET(회계장부!$G$1,L34,,$J$13-L34+1,)=L$14),0)+L34,"")</f>
        <v/>
      </c>
    </row>
    <row r="36" spans="10:12" ht="24.95" customHeight="1" thickBot="1">
      <c r="J36" s="105">
        <v>21</v>
      </c>
      <c r="K36" s="114" t="str">
        <f t="array" aca="1" ref="K36" ca="1">IF($J36&lt;=K$15,MATCH(1,(OFFSET(회계장부!$A$1,K35,,$J$13-K35+1,)=기준일자)*(OFFSET(회계장부!$G$1,K35,,$J$13-K35+1,)=K$14),0)+K35,"")</f>
        <v/>
      </c>
      <c r="L36" s="118" t="str">
        <f t="array" aca="1" ref="L36" ca="1">IF($J36&lt;=L$15,MATCH(1,(OFFSET(회계장부!$A$1,L35,,$J$13-L35+1,)=기준일자)*(OFFSET(회계장부!$G$1,L35,,$J$13-L35+1,)=L$14),0)+L35,"")</f>
        <v/>
      </c>
    </row>
    <row r="37" spans="10:12" ht="24.95" customHeight="1">
      <c r="J37" s="105">
        <v>22</v>
      </c>
      <c r="K37" s="115" t="str">
        <f t="array" aca="1" ref="K37" ca="1">IF($J37&lt;=K$15,MATCH(1,(OFFSET(회계장부!$A$1,K36,,$J$13-K36+1,)=기준일자)*(OFFSET(회계장부!$G$1,K36,,$J$13-K36+1,)=K$14),0)+K36,"")</f>
        <v/>
      </c>
      <c r="L37" s="112"/>
    </row>
    <row r="38" spans="10:12" ht="24.95" customHeight="1">
      <c r="J38" s="105">
        <v>23</v>
      </c>
      <c r="K38" s="115" t="str">
        <f t="array" aca="1" ref="K38" ca="1">IF($J38&lt;=K$15,MATCH(1,(OFFSET(회계장부!$A$1,K37,,$J$13-K37+1,)=기준일자)*(OFFSET(회계장부!$G$1,K37,,$J$13-K37+1,)=K$14),0)+K37,"")</f>
        <v/>
      </c>
    </row>
    <row r="39" spans="10:12" ht="24.95" customHeight="1">
      <c r="J39" s="105">
        <v>24</v>
      </c>
      <c r="K39" s="115" t="str">
        <f t="array" aca="1" ref="K39" ca="1">IF($J39&lt;=K$15,MATCH(1,(OFFSET(회계장부!$A$1,K38,,$J$13-K38+1,)=기준일자)*(OFFSET(회계장부!$G$1,K38,,$J$13-K38+1,)=K$14),0)+K38,"")</f>
        <v/>
      </c>
    </row>
    <row r="40" spans="10:12" ht="24.95" customHeight="1">
      <c r="J40" s="105">
        <v>25</v>
      </c>
      <c r="K40" s="115" t="str">
        <f t="array" aca="1" ref="K40" ca="1">IF($J40&lt;=K$15,MATCH(1,(OFFSET(회계장부!$A$1,K39,,$J$13-K39+1,)=기준일자)*(OFFSET(회계장부!$G$1,K39,,$J$13-K39+1,)=K$14),0)+K39,"")</f>
        <v/>
      </c>
    </row>
    <row r="41" spans="10:12" ht="24.95" customHeight="1">
      <c r="J41" s="105">
        <v>26</v>
      </c>
      <c r="K41" s="115" t="str">
        <f t="array" aca="1" ref="K41" ca="1">IF($J41&lt;=K$15,MATCH(1,(OFFSET(회계장부!$A$1,K40,,$J$13-K40+1,)=기준일자)*(OFFSET(회계장부!$G$1,K40,,$J$13-K40+1,)=K$14),0)+K40,"")</f>
        <v/>
      </c>
    </row>
    <row r="42" spans="10:12" ht="24.95" customHeight="1">
      <c r="J42" s="105">
        <v>27</v>
      </c>
      <c r="K42" s="115" t="str">
        <f t="array" aca="1" ref="K42" ca="1">IF($J42&lt;=K$15,MATCH(1,(OFFSET(회계장부!$A$1,K41,,$J$13-K41+1,)=기준일자)*(OFFSET(회계장부!$G$1,K41,,$J$13-K41+1,)=K$14),0)+K41,"")</f>
        <v/>
      </c>
    </row>
    <row r="43" spans="10:12" ht="24.95" customHeight="1">
      <c r="J43" s="105">
        <v>28</v>
      </c>
      <c r="K43" s="115" t="str">
        <f t="array" aca="1" ref="K43" ca="1">IF($J43&lt;=K$15,MATCH(1,(OFFSET(회계장부!$A$1,K42,,$J$13-K42+1,)=기준일자)*(OFFSET(회계장부!$G$1,K42,,$J$13-K42+1,)=K$14),0)+K42,"")</f>
        <v/>
      </c>
    </row>
    <row r="44" spans="10:12" ht="24.95" customHeight="1">
      <c r="J44" s="105">
        <v>29</v>
      </c>
      <c r="K44" s="115" t="str">
        <f t="array" aca="1" ref="K44" ca="1">IF($J44&lt;=K$15,MATCH(1,(OFFSET(회계장부!$A$1,K43,,$J$13-K43+1,)=기준일자)*(OFFSET(회계장부!$G$1,K43,,$J$13-K43+1,)=K$14),0)+K43,"")</f>
        <v/>
      </c>
    </row>
    <row r="45" spans="10:12" ht="24.95" customHeight="1">
      <c r="J45" s="105">
        <v>30</v>
      </c>
      <c r="K45" s="115" t="str">
        <f t="array" aca="1" ref="K45" ca="1">IF($J45&lt;=K$15,MATCH(1,(OFFSET(회계장부!$A$1,K44,,$J$13-K44+1,)=기준일자)*(OFFSET(회계장부!$G$1,K44,,$J$13-K44+1,)=K$14),0)+K44,"")</f>
        <v/>
      </c>
    </row>
    <row r="46" spans="10:12" ht="24.95" customHeight="1">
      <c r="J46" s="105">
        <v>31</v>
      </c>
      <c r="K46" s="115" t="str">
        <f t="array" aca="1" ref="K46" ca="1">IF($J46&lt;=K$15,MATCH(1,(OFFSET(회계장부!$A$1,K45,,$J$13-K45+1,)=기준일자)*(OFFSET(회계장부!$G$1,K45,,$J$13-K45+1,)=K$14),0)+K45,"")</f>
        <v/>
      </c>
    </row>
    <row r="47" spans="10:12" ht="24.95" customHeight="1">
      <c r="J47" s="105">
        <v>32</v>
      </c>
      <c r="K47" s="115" t="str">
        <f t="array" aca="1" ref="K47" ca="1">IF($J47&lt;=K$15,MATCH(1,(OFFSET(회계장부!$A$1,K46,,$J$13-K46+1,)=기준일자)*(OFFSET(회계장부!$G$1,K46,,$J$13-K46+1,)=K$14),0)+K46,"")</f>
        <v/>
      </c>
    </row>
    <row r="48" spans="10:12" ht="24.95" customHeight="1" thickBot="1">
      <c r="J48" s="105">
        <v>33</v>
      </c>
      <c r="K48" s="116" t="str">
        <f t="array" aca="1" ref="K48" ca="1">IF($J48&lt;=K$15,MATCH(1,(OFFSET(회계장부!$A$1,K47,,$J$13-K47+1,)=기준일자)*(OFFSET(회계장부!$G$1,K47,,$J$13-K47+1,)=K$14),0)+K47,"")</f>
        <v/>
      </c>
    </row>
  </sheetData>
  <sheetProtection algorithmName="SHA-512" hashValue="jNrigmlsp4DWUcGjNOm3MDwqXuZGtlIjwj1igzr7AulJADa6eFdvinQA/JUy7D+pOc3zIV0as3ZS+zSMV5lPOQ==" saltValue="Uq8H/CGHQjJE9jhjHynMag==" spinCount="100000" sheet="1" objects="1" scenarios="1"/>
  <mergeCells count="73">
    <mergeCell ref="A1:H1"/>
    <mergeCell ref="A29:H29"/>
    <mergeCell ref="B11:C11"/>
    <mergeCell ref="B12:C12"/>
    <mergeCell ref="B13:C13"/>
    <mergeCell ref="B14:C14"/>
    <mergeCell ref="F6:G6"/>
    <mergeCell ref="F7:G7"/>
    <mergeCell ref="F8:G8"/>
    <mergeCell ref="F9:G9"/>
    <mergeCell ref="F10:G10"/>
    <mergeCell ref="F11:G11"/>
    <mergeCell ref="D10:E10"/>
    <mergeCell ref="D26:F26"/>
    <mergeCell ref="G26:H26"/>
    <mergeCell ref="B27:C28"/>
    <mergeCell ref="D27:F28"/>
    <mergeCell ref="G27:H28"/>
    <mergeCell ref="F25:G25"/>
    <mergeCell ref="B24:C24"/>
    <mergeCell ref="B25:C25"/>
    <mergeCell ref="D25:E25"/>
    <mergeCell ref="D20:E20"/>
    <mergeCell ref="D21:E21"/>
    <mergeCell ref="D22:E22"/>
    <mergeCell ref="D23:E23"/>
    <mergeCell ref="D24:E24"/>
    <mergeCell ref="F20:G20"/>
    <mergeCell ref="F21:G21"/>
    <mergeCell ref="F22:G22"/>
    <mergeCell ref="F23:G23"/>
    <mergeCell ref="F24:G24"/>
    <mergeCell ref="G18:H18"/>
    <mergeCell ref="G19:H19"/>
    <mergeCell ref="D15:F15"/>
    <mergeCell ref="E18:F18"/>
    <mergeCell ref="E19:F19"/>
    <mergeCell ref="A18:A19"/>
    <mergeCell ref="A20:A25"/>
    <mergeCell ref="A26:A28"/>
    <mergeCell ref="B15:C15"/>
    <mergeCell ref="B20:C20"/>
    <mergeCell ref="B21:C21"/>
    <mergeCell ref="B22:C22"/>
    <mergeCell ref="B23:C23"/>
    <mergeCell ref="B26:C26"/>
    <mergeCell ref="E4:F4"/>
    <mergeCell ref="F3:G3"/>
    <mergeCell ref="C5:F5"/>
    <mergeCell ref="G5:H5"/>
    <mergeCell ref="A15:A17"/>
    <mergeCell ref="G15:H15"/>
    <mergeCell ref="E16:F16"/>
    <mergeCell ref="E17:F17"/>
    <mergeCell ref="F12:G12"/>
    <mergeCell ref="F13:G13"/>
    <mergeCell ref="F14:G14"/>
    <mergeCell ref="A2:H2"/>
    <mergeCell ref="A6:A14"/>
    <mergeCell ref="D6:E6"/>
    <mergeCell ref="D7:E7"/>
    <mergeCell ref="D8:E8"/>
    <mergeCell ref="D9:E9"/>
    <mergeCell ref="D11:E11"/>
    <mergeCell ref="D12:E12"/>
    <mergeCell ref="D13:E13"/>
    <mergeCell ref="D14:E14"/>
    <mergeCell ref="B6:C6"/>
    <mergeCell ref="B7:C7"/>
    <mergeCell ref="B8:C8"/>
    <mergeCell ref="B9:C9"/>
    <mergeCell ref="B10:C10"/>
    <mergeCell ref="B3:E3"/>
  </mergeCells>
  <phoneticPr fontId="2" type="noConversion"/>
  <conditionalFormatting sqref="A2:H2">
    <cfRule type="expression" dxfId="21" priority="3">
      <formula>LEN(A2)&gt;0</formula>
    </cfRule>
  </conditionalFormatting>
  <conditionalFormatting sqref="F13:G13">
    <cfRule type="containsText" dxfId="20" priority="2" operator="containsText" text="&lt;&lt; 다음면에 계속 &gt;&gt;">
      <formula>NOT(ISERROR(SEARCH("&lt;&lt; 다음면에 계속 &gt;&gt;",F13)))</formula>
    </cfRule>
  </conditionalFormatting>
  <conditionalFormatting sqref="F24:G24">
    <cfRule type="containsText" dxfId="19" priority="1" operator="containsText" text="&lt;&lt; 다음면에 계속 &gt;&gt;">
      <formula>NOT(ISERROR(SEARCH("&lt;&lt; 다음면에 계속 &gt;&gt;",F24)))</formula>
    </cfRule>
  </conditionalFormatting>
  <pageMargins left="0.27559055118110237" right="7.874015748031496E-2" top="0.47244094488188981" bottom="0.31496062992125984" header="0.31496062992125984" footer="0.31496062992125984"/>
  <pageSetup paperSize="9" orientation="portrait" horizontalDpi="4294967293" verticalDpi="4294967293" r:id="rId1"/>
  <colBreaks count="1" manualBreakCount="1">
    <brk id="8" max="2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18FE-C3B8-48DE-984A-C0944E06C48C}">
  <dimension ref="A1:O48"/>
  <sheetViews>
    <sheetView zoomScaleNormal="100" workbookViewId="0">
      <selection activeCell="G5" sqref="B5:H6"/>
    </sheetView>
  </sheetViews>
  <sheetFormatPr defaultColWidth="9" defaultRowHeight="24.95" customHeight="1"/>
  <cols>
    <col min="1" max="1" width="7.75" style="84" customWidth="1"/>
    <col min="2" max="2" width="9.125" style="84" customWidth="1"/>
    <col min="3" max="3" width="18" style="161" customWidth="1"/>
    <col min="4" max="4" width="9.125" style="161" customWidth="1"/>
    <col min="5" max="5" width="4.75" style="161" customWidth="1"/>
    <col min="6" max="6" width="15.125" style="84" customWidth="1"/>
    <col min="7" max="7" width="8.75" style="84" customWidth="1"/>
    <col min="8" max="8" width="19.75" style="84" customWidth="1"/>
    <col min="9" max="9" width="9" style="84"/>
    <col min="10" max="10" width="11.125" style="128" hidden="1" customWidth="1"/>
    <col min="11" max="11" width="11.5" style="128" hidden="1" customWidth="1"/>
    <col min="12" max="12" width="11.25" style="128" hidden="1" customWidth="1"/>
    <col min="13" max="13" width="0" style="84" hidden="1" customWidth="1"/>
    <col min="14" max="14" width="9" style="84"/>
    <col min="15" max="15" width="10.875" style="84" bestFit="1" customWidth="1"/>
    <col min="16" max="16384" width="9" style="84"/>
  </cols>
  <sheetData>
    <row r="1" spans="1:12" ht="41.25" customHeight="1">
      <c r="A1" s="369" t="s">
        <v>0</v>
      </c>
      <c r="B1" s="370"/>
      <c r="C1" s="370"/>
      <c r="D1" s="370"/>
      <c r="E1" s="370"/>
      <c r="F1" s="370"/>
      <c r="G1" s="370"/>
      <c r="H1" s="370"/>
    </row>
    <row r="2" spans="1:12" ht="15.75" customHeight="1" thickBot="1">
      <c r="A2" s="371"/>
      <c r="B2" s="371"/>
      <c r="C2" s="371"/>
      <c r="D2" s="371"/>
      <c r="E2" s="371"/>
      <c r="F2" s="371"/>
      <c r="G2" s="371"/>
      <c r="H2" s="371"/>
    </row>
    <row r="3" spans="1:12" ht="24.95" customHeight="1">
      <c r="A3" s="129" t="s">
        <v>16</v>
      </c>
      <c r="B3" s="372">
        <f>기준일자</f>
        <v>44227</v>
      </c>
      <c r="C3" s="372"/>
      <c r="D3" s="372"/>
      <c r="E3" s="372"/>
      <c r="F3" s="373" t="s">
        <v>17</v>
      </c>
      <c r="G3" s="373"/>
      <c r="H3" s="130"/>
    </row>
    <row r="4" spans="1:12" ht="24.95" customHeight="1" thickBot="1">
      <c r="A4" s="131" t="s">
        <v>18</v>
      </c>
      <c r="B4" s="132"/>
      <c r="C4" s="133"/>
      <c r="D4" s="133" t="s">
        <v>19</v>
      </c>
      <c r="E4" s="374"/>
      <c r="F4" s="374"/>
      <c r="G4" s="132" t="s">
        <v>20</v>
      </c>
      <c r="H4" s="134"/>
    </row>
    <row r="5" spans="1:12" ht="24.95" customHeight="1" thickBot="1">
      <c r="A5" s="135" t="s">
        <v>21</v>
      </c>
      <c r="B5" s="136" t="s">
        <v>22</v>
      </c>
      <c r="C5" s="366" t="str">
        <f ca="1">NUMBERSTRING(H14,1) &amp; " 원정"</f>
        <v>영 원정</v>
      </c>
      <c r="D5" s="366"/>
      <c r="E5" s="366"/>
      <c r="F5" s="366"/>
      <c r="G5" s="367">
        <f ca="1">H14</f>
        <v>0</v>
      </c>
      <c r="H5" s="368"/>
    </row>
    <row r="6" spans="1:12" ht="24.95" customHeight="1">
      <c r="A6" s="337" t="s">
        <v>23</v>
      </c>
      <c r="B6" s="362" t="str">
        <f ca="1">IF(K32&lt;&gt;"",INDEX(회계장부!$B:$B,K32,1),"")</f>
        <v/>
      </c>
      <c r="C6" s="363"/>
      <c r="D6" s="364" t="str">
        <f ca="1">IF(K32&lt;&gt;"",INDEX(회계장부!$D:$D,K32,1),"")</f>
        <v/>
      </c>
      <c r="E6" s="365"/>
      <c r="F6" s="363" t="str">
        <f ca="1">IF(K41&lt;&gt;"",INDEX(회계장부!$B:$B,K41,1),"")</f>
        <v/>
      </c>
      <c r="G6" s="363"/>
      <c r="H6" s="137" t="str">
        <f ca="1">IF(K41&lt;&gt;"",INDEX(회계장부!$D:$D,K41,1),"")</f>
        <v/>
      </c>
    </row>
    <row r="7" spans="1:12" ht="24.95" customHeight="1">
      <c r="A7" s="317"/>
      <c r="B7" s="359" t="str">
        <f ca="1">IF(K33&lt;&gt;"",INDEX(회계장부!$B:$B,K33,1),"")</f>
        <v/>
      </c>
      <c r="C7" s="349"/>
      <c r="D7" s="360" t="str">
        <f ca="1">IF(K33&lt;&gt;"",INDEX(회계장부!$D:$D,K33,1),"")</f>
        <v/>
      </c>
      <c r="E7" s="360"/>
      <c r="F7" s="343" t="str">
        <f ca="1">IF(K42&lt;&gt;"",INDEX(회계장부!$B:$B,K42,1),"")</f>
        <v/>
      </c>
      <c r="G7" s="343"/>
      <c r="H7" s="138" t="str">
        <f ca="1">IF(K42&lt;&gt;"",INDEX(회계장부!$D:$D,K42,1),"")</f>
        <v/>
      </c>
    </row>
    <row r="8" spans="1:12" ht="24.95" customHeight="1">
      <c r="A8" s="317"/>
      <c r="B8" s="359" t="str">
        <f ca="1">IF(K34&lt;&gt;"",INDEX(회계장부!$B:$B,K34,1),"")</f>
        <v/>
      </c>
      <c r="C8" s="349"/>
      <c r="D8" s="360" t="str">
        <f ca="1">IF(K34&lt;&gt;"",INDEX(회계장부!$D:$D,K34,1),"")</f>
        <v/>
      </c>
      <c r="E8" s="360"/>
      <c r="F8" s="343" t="str">
        <f ca="1">IF(K43&lt;&gt;"",INDEX(회계장부!$B:$B,K43,1),"")</f>
        <v/>
      </c>
      <c r="G8" s="343"/>
      <c r="H8" s="138" t="str">
        <f ca="1">IF(K43&lt;&gt;"",INDEX(회계장부!$D:$D,K43,1),"")</f>
        <v/>
      </c>
    </row>
    <row r="9" spans="1:12" ht="24.95" customHeight="1">
      <c r="A9" s="317"/>
      <c r="B9" s="359" t="str">
        <f ca="1">IF(K35&lt;&gt;"",INDEX(회계장부!$B:$B,K35,1),"")</f>
        <v/>
      </c>
      <c r="C9" s="349"/>
      <c r="D9" s="360" t="str">
        <f ca="1">IF(K35&lt;&gt;"",INDEX(회계장부!$D:$D,K35,1),"")</f>
        <v/>
      </c>
      <c r="E9" s="360"/>
      <c r="F9" s="343" t="str">
        <f ca="1">IF(K44&lt;&gt;"",INDEX(회계장부!$B:$B,K44,1),"")</f>
        <v/>
      </c>
      <c r="G9" s="343"/>
      <c r="H9" s="138" t="str">
        <f ca="1">IF(K44&lt;&gt;"",INDEX(회계장부!$D:$D,K44,1),"")</f>
        <v/>
      </c>
    </row>
    <row r="10" spans="1:12" ht="24.95" customHeight="1">
      <c r="A10" s="317"/>
      <c r="B10" s="359" t="str">
        <f ca="1">IF(K36&lt;&gt;"",INDEX(회계장부!$B:$B,K36,1),"")</f>
        <v/>
      </c>
      <c r="C10" s="349"/>
      <c r="D10" s="360" t="str">
        <f ca="1">IF(K36&lt;&gt;"",INDEX(회계장부!$D:$D,K36,1),"")</f>
        <v/>
      </c>
      <c r="E10" s="360"/>
      <c r="F10" s="343" t="str">
        <f ca="1">IF(K45&lt;&gt;"",INDEX(회계장부!$B:$B,K45,1),"")</f>
        <v/>
      </c>
      <c r="G10" s="343"/>
      <c r="H10" s="138" t="str">
        <f ca="1">IF(K45&lt;&gt;"",INDEX(회계장부!$D:$D,K45,1),"")</f>
        <v/>
      </c>
    </row>
    <row r="11" spans="1:12" ht="24.95" customHeight="1">
      <c r="A11" s="317"/>
      <c r="B11" s="359" t="str">
        <f ca="1">IF(K37&lt;&gt;"",INDEX(회계장부!$B:$B,K37,1),"")</f>
        <v/>
      </c>
      <c r="C11" s="349"/>
      <c r="D11" s="360" t="str">
        <f ca="1">IF(K37&lt;&gt;"",INDEX(회계장부!$D:$D,K37,1),"")</f>
        <v/>
      </c>
      <c r="E11" s="360"/>
      <c r="F11" s="343" t="str">
        <f ca="1">IF(K46&lt;&gt;"",INDEX(회계장부!$B:$B,K46,1),"")</f>
        <v/>
      </c>
      <c r="G11" s="343"/>
      <c r="H11" s="138" t="str">
        <f ca="1">IF(K46&lt;&gt;"",INDEX(회계장부!$D:$D,K46,1),"")</f>
        <v/>
      </c>
    </row>
    <row r="12" spans="1:12" ht="24.95" customHeight="1">
      <c r="A12" s="317"/>
      <c r="B12" s="359" t="str">
        <f ca="1">IF(K38&lt;&gt;"",INDEX(회계장부!$B:$B,K38,1),"")</f>
        <v/>
      </c>
      <c r="C12" s="349"/>
      <c r="D12" s="360" t="str">
        <f ca="1">IF(K38&lt;&gt;"",INDEX(회계장부!$D:$D,K38,1),"")</f>
        <v/>
      </c>
      <c r="E12" s="360"/>
      <c r="F12" s="343" t="str">
        <f ca="1">IF(K47&lt;&gt;"",INDEX(회계장부!$B:$B,K47,1),"")</f>
        <v/>
      </c>
      <c r="G12" s="343"/>
      <c r="H12" s="138" t="str">
        <f ca="1">IF(K47&lt;&gt;"",INDEX(회계장부!$D:$D,K47,1),"")</f>
        <v/>
      </c>
      <c r="L12" s="139"/>
    </row>
    <row r="13" spans="1:12" ht="24.95" customHeight="1" thickBot="1">
      <c r="A13" s="317"/>
      <c r="B13" s="359" t="str">
        <f ca="1">IF(K39&lt;&gt;"",INDEX(회계장부!$B:$B,K39,1),"")</f>
        <v/>
      </c>
      <c r="C13" s="349"/>
      <c r="D13" s="360" t="str">
        <f ca="1">IF(K39&lt;&gt;"",INDEX(회계장부!$D:$D,K39,1),"")</f>
        <v/>
      </c>
      <c r="E13" s="360"/>
      <c r="F13" s="361" t="str">
        <f ca="1">IF(K48&lt;&gt;"",INDEX(회계장부!$B:$B,K48,1),"")</f>
        <v/>
      </c>
      <c r="G13" s="361"/>
      <c r="H13" s="140" t="str">
        <f ca="1">IF(K48&lt;&gt;"",INDEX(회계장부!$D:$D,K48,1),"")</f>
        <v/>
      </c>
      <c r="J13" s="141">
        <f>COUNTA(회계장부!$A:$A)</f>
        <v>3</v>
      </c>
      <c r="K13" s="141"/>
      <c r="L13" s="142"/>
    </row>
    <row r="14" spans="1:12" ht="24.95" customHeight="1" thickBot="1">
      <c r="A14" s="317"/>
      <c r="B14" s="310" t="str">
        <f ca="1">IF(K40&lt;&gt;"",INDEX(회계장부!$B:$B,K40,1),"")</f>
        <v/>
      </c>
      <c r="C14" s="311"/>
      <c r="D14" s="312" t="str">
        <f ca="1">IF(K40&lt;&gt;"",INDEX(회계장부!$D:$D,K40,1),"")</f>
        <v/>
      </c>
      <c r="E14" s="313"/>
      <c r="F14" s="314" t="s">
        <v>109</v>
      </c>
      <c r="G14" s="315"/>
      <c r="H14" s="143">
        <f ca="1">'결의서(기본)'!H14</f>
        <v>0</v>
      </c>
      <c r="J14" s="141"/>
      <c r="K14" s="144" t="s">
        <v>53</v>
      </c>
      <c r="L14" s="145" t="s">
        <v>107</v>
      </c>
    </row>
    <row r="15" spans="1:12" ht="24.95" customHeight="1" thickTop="1" thickBot="1">
      <c r="A15" s="317" t="s">
        <v>25</v>
      </c>
      <c r="B15" s="319" t="s">
        <v>26</v>
      </c>
      <c r="C15" s="319"/>
      <c r="D15" s="350" t="s">
        <v>45</v>
      </c>
      <c r="E15" s="350"/>
      <c r="F15" s="351"/>
      <c r="G15" s="352" t="s">
        <v>27</v>
      </c>
      <c r="H15" s="353"/>
      <c r="J15" s="146" t="s">
        <v>108</v>
      </c>
      <c r="K15" s="147">
        <f>COUNTIFS(회계장부!$A:$A,기준일자,회계장부!$G:$G,K$14)</f>
        <v>0</v>
      </c>
      <c r="L15" s="148">
        <f>COUNTIFS(회계장부!$A:$A,기준일자,회계장부!$G:$G,L$14)</f>
        <v>1</v>
      </c>
    </row>
    <row r="16" spans="1:12" ht="24.95" customHeight="1">
      <c r="A16" s="317"/>
      <c r="B16" s="149" t="s">
        <v>28</v>
      </c>
      <c r="C16" s="150">
        <f>SUMIFS(회계장부!C:C,회계장부!K:K,"자체헌금",회계장부!A:A,기준일자)</f>
        <v>0</v>
      </c>
      <c r="D16" s="149" t="s">
        <v>28</v>
      </c>
      <c r="E16" s="354">
        <f>SUMIFS(회계장부!C:C,회계장부!K:K,"교회보조금",회계장부!A:A,기준일자)</f>
        <v>0</v>
      </c>
      <c r="F16" s="354"/>
      <c r="G16" s="149" t="s">
        <v>28</v>
      </c>
      <c r="H16" s="151">
        <f>SUMIFS(회계장부!C:C,회계장부!K:K,"기타",회계장부!A:A,기준일자)</f>
        <v>200</v>
      </c>
      <c r="J16" s="146">
        <v>1</v>
      </c>
      <c r="K16" s="152" t="str">
        <f t="array" ref="K16">IF($J16&lt;=K$15,MATCH(1,(회계장부!$A:$A=기준일자)*(회계장부!$G:$G=K$14),0),"")</f>
        <v/>
      </c>
      <c r="L16" s="152">
        <f t="array" ref="L16">IF($J16&lt;=L$15,MATCH(1,(회계장부!$A:$A=기준일자)*(회계장부!$G:$G=L$14),0),"")</f>
        <v>3</v>
      </c>
    </row>
    <row r="17" spans="1:15" ht="24.95" customHeight="1">
      <c r="A17" s="317"/>
      <c r="B17" s="149" t="s">
        <v>29</v>
      </c>
      <c r="C17" s="150">
        <f>SUMIFS(회계장부!C:C,회계장부!K:K,"자체헌금",회계장부!A:A,"&lt;="&amp;기준일자)</f>
        <v>0</v>
      </c>
      <c r="D17" s="149" t="s">
        <v>29</v>
      </c>
      <c r="E17" s="354">
        <f>SUMIFS(회계장부!C:C,회계장부!K:K,"교회보조금",회계장부!A:A,"&lt;="&amp;기준일자)</f>
        <v>0</v>
      </c>
      <c r="F17" s="354"/>
      <c r="G17" s="149" t="s">
        <v>29</v>
      </c>
      <c r="H17" s="151">
        <f>SUMIFS(회계장부!C:C,회계장부!K:K,"기타",회계장부!A:A,"&lt;="&amp;기준일자)</f>
        <v>300</v>
      </c>
      <c r="J17" s="146">
        <v>2</v>
      </c>
      <c r="K17" s="153" t="str">
        <f t="array" aca="1" ref="K17" ca="1">IF($J17&lt;=K$15,MATCH(1,(OFFSET(회계장부!$A$1,K16,,$J$13-K16+1,)=기준일자)*(OFFSET(회계장부!$G$1,K16,,$J$13-K16+1,)=K$14),0)+K16,"")</f>
        <v/>
      </c>
      <c r="L17" s="153" t="str">
        <f t="array" aca="1" ref="L17" ca="1">IF($J17&lt;=L$15,MATCH(1,(OFFSET(회계장부!$A$1,L16,,$J$13-L16+1,)=기준일자)*(OFFSET(회계장부!$G$1,L16,,$J$13-L16+1,)=L$14),0)+L16,"")</f>
        <v/>
      </c>
      <c r="O17" s="154"/>
    </row>
    <row r="18" spans="1:15" ht="24.95" customHeight="1">
      <c r="A18" s="317" t="s">
        <v>30</v>
      </c>
      <c r="B18" s="149" t="s">
        <v>28</v>
      </c>
      <c r="C18" s="150">
        <f>SUMIFS(회계장부!D:D,회계장부!G:G,"지출항목",회계장부!A:A,기준일자)</f>
        <v>0</v>
      </c>
      <c r="D18" s="155" t="s">
        <v>31</v>
      </c>
      <c r="E18" s="355">
        <f>C17+E17+H17</f>
        <v>300</v>
      </c>
      <c r="F18" s="356"/>
      <c r="G18" s="319" t="s">
        <v>32</v>
      </c>
      <c r="H18" s="334"/>
      <c r="J18" s="146">
        <v>3</v>
      </c>
      <c r="K18" s="153" t="str">
        <f t="array" aca="1" ref="K18" ca="1">IF($J18&lt;=K$15,MATCH(1,(OFFSET(회계장부!$A$1,K17,,$J$13-K17+1,)=기준일자)*(OFFSET(회계장부!$G$1,K17,,$J$13-K17+1,)=K$14),0)+K17,"")</f>
        <v/>
      </c>
      <c r="L18" s="153" t="str">
        <f t="array" aca="1" ref="L18" ca="1">IF($J18&lt;=L$15,MATCH(1,(OFFSET(회계장부!$A$1,L17,,$J$13-L17+1,)=기준일자)*(OFFSET(회계장부!$G$1,L17,,$J$13-L17+1,)=L$14),0)+L17,"")</f>
        <v/>
      </c>
    </row>
    <row r="19" spans="1:15" ht="24.95" customHeight="1">
      <c r="A19" s="317"/>
      <c r="B19" s="149" t="s">
        <v>29</v>
      </c>
      <c r="C19" s="150">
        <f>SUMIFS(회계장부!D:D,회계장부!G:G,"지출항목",회계장부!A:A,"&lt;="&amp;기준일자)</f>
        <v>0</v>
      </c>
      <c r="D19" s="155" t="s">
        <v>33</v>
      </c>
      <c r="E19" s="355">
        <f>C17+E17+H17-C19</f>
        <v>300</v>
      </c>
      <c r="F19" s="356"/>
      <c r="G19" s="357" t="s">
        <v>34</v>
      </c>
      <c r="H19" s="358"/>
      <c r="J19" s="146">
        <v>4</v>
      </c>
      <c r="K19" s="153" t="str">
        <f t="array" aca="1" ref="K19" ca="1">IF($J19&lt;=K$15,MATCH(1,(OFFSET(회계장부!$A$1,K18,,$J$13-K18+1,)=기준일자)*(OFFSET(회계장부!$G$1,K18,,$J$13-K18+1,)=K$14),0)+K18,"")</f>
        <v/>
      </c>
      <c r="L19" s="153" t="str">
        <f t="array" aca="1" ref="L19" ca="1">IF($J19&lt;=L$15,MATCH(1,(OFFSET(회계장부!$A$1,L18,,$J$13-L18+1,)=기준일자)*(OFFSET(회계장부!$G$1,L18,,$J$13-L18+1,)=L$14),0)+L18,"")</f>
        <v/>
      </c>
    </row>
    <row r="20" spans="1:15" ht="24.95" customHeight="1">
      <c r="A20" s="337" t="s">
        <v>35</v>
      </c>
      <c r="B20" s="338" t="str">
        <f ca="1">IF(L26&lt;&gt;"",INDEX(회계장부!$B:$B,L26,1),"")</f>
        <v/>
      </c>
      <c r="C20" s="339"/>
      <c r="D20" s="340" t="str">
        <f ca="1">IF(L26&lt;&gt;"",INDEX(회계장부!$C:$C,L26,1),"")</f>
        <v/>
      </c>
      <c r="E20" s="341"/>
      <c r="F20" s="339" t="str">
        <f ca="1">IF(L32&lt;&gt;"",INDEX(회계장부!$B:$B,L32,1),"")</f>
        <v/>
      </c>
      <c r="G20" s="339"/>
      <c r="H20" s="156" t="str">
        <f ca="1">IF(L32&lt;&gt;"",INDEX(회계장부!$C:$C,L32,1),"")</f>
        <v/>
      </c>
      <c r="J20" s="146">
        <v>5</v>
      </c>
      <c r="K20" s="153" t="str">
        <f t="array" aca="1" ref="K20" ca="1">IF($J20&lt;=K$15,MATCH(1,(OFFSET(회계장부!$A$1,K19,,$J$13-K19+1,)=기준일자)*(OFFSET(회계장부!$G$1,K19,,$J$13-K19+1,)=K$14),0)+K19,"")</f>
        <v/>
      </c>
      <c r="L20" s="153" t="str">
        <f t="array" aca="1" ref="L20" ca="1">IF($J20&lt;=L$15,MATCH(1,(OFFSET(회계장부!$A$1,L19,,$J$13-L19+1,)=기준일자)*(OFFSET(회계장부!$G$1,L19,,$J$13-L19+1,)=L$14),0)+L19,"")</f>
        <v/>
      </c>
      <c r="N20" s="157"/>
    </row>
    <row r="21" spans="1:15" ht="24.95" customHeight="1">
      <c r="A21" s="317"/>
      <c r="B21" s="342" t="str">
        <f ca="1">IF(L27&lt;&gt;"",INDEX(회계장부!$B:$B,L27,1),"")</f>
        <v/>
      </c>
      <c r="C21" s="343"/>
      <c r="D21" s="344" t="str">
        <f ca="1">IF(L27&lt;&gt;"",INDEX(회계장부!$C:$C,L27,1),"")</f>
        <v/>
      </c>
      <c r="E21" s="345"/>
      <c r="F21" s="348" t="str">
        <f ca="1">IF(L33&lt;&gt;"",INDEX(회계장부!$B:$B,L33,1),"")</f>
        <v/>
      </c>
      <c r="G21" s="349"/>
      <c r="H21" s="138" t="str">
        <f ca="1">IF(L33&lt;&gt;"",INDEX(회계장부!$C:$C,L33,1),"")</f>
        <v/>
      </c>
      <c r="J21" s="146">
        <v>6</v>
      </c>
      <c r="K21" s="153" t="str">
        <f t="array" aca="1" ref="K21" ca="1">IF($J21&lt;=K$15,MATCH(1,(OFFSET(회계장부!$A$1,K20,,$J$13-K20+1,)=기준일자)*(OFFSET(회계장부!$G$1,K20,,$J$13-K20+1,)=K$14),0)+K20,"")</f>
        <v/>
      </c>
      <c r="L21" s="153" t="str">
        <f t="array" aca="1" ref="L21" ca="1">IF($J21&lt;=L$15,MATCH(1,(OFFSET(회계장부!$A$1,L20,,$J$13-L20+1,)=기준일자)*(OFFSET(회계장부!$G$1,L20,,$J$13-L20+1,)=L$14),0)+L20,"")</f>
        <v/>
      </c>
    </row>
    <row r="22" spans="1:15" ht="24.95" customHeight="1">
      <c r="A22" s="317"/>
      <c r="B22" s="342" t="str">
        <f ca="1">IF(L28&lt;&gt;"",INDEX(회계장부!$B:$B,L28,1),"")</f>
        <v/>
      </c>
      <c r="C22" s="343"/>
      <c r="D22" s="344" t="str">
        <f ca="1">IF(L28&lt;&gt;"",INDEX(회계장부!$C:$C,L28,1),"")</f>
        <v/>
      </c>
      <c r="E22" s="345"/>
      <c r="F22" s="348" t="str">
        <f ca="1">IF(L34&lt;&gt;"",INDEX(회계장부!$B:$B,L34,1),"")</f>
        <v/>
      </c>
      <c r="G22" s="349"/>
      <c r="H22" s="138" t="str">
        <f ca="1">IF(L34&lt;&gt;"",INDEX(회계장부!$C:$C,L34,1),"")</f>
        <v/>
      </c>
      <c r="J22" s="146">
        <v>7</v>
      </c>
      <c r="K22" s="153" t="str">
        <f t="array" aca="1" ref="K22" ca="1">IF($J22&lt;=K$15,MATCH(1,(OFFSET(회계장부!$A$1,K21,,$J$13-K21+1,)=기준일자)*(OFFSET(회계장부!$G$1,K21,,$J$13-K21+1,)=K$14),0)+K21,"")</f>
        <v/>
      </c>
      <c r="L22" s="153" t="str">
        <f t="array" aca="1" ref="L22" ca="1">IF($J22&lt;=L$15,MATCH(1,(OFFSET(회계장부!$A$1,L21,,$J$13-L21+1,)=기준일자)*(OFFSET(회계장부!$G$1,L21,,$J$13-L21+1,)=L$14),0)+L21,"")</f>
        <v/>
      </c>
    </row>
    <row r="23" spans="1:15" ht="24.95" customHeight="1">
      <c r="A23" s="317"/>
      <c r="B23" s="342" t="str">
        <f ca="1">IF(L29&lt;&gt;"",INDEX(회계장부!$B:$B,L29,1),"")</f>
        <v/>
      </c>
      <c r="C23" s="343"/>
      <c r="D23" s="344" t="str">
        <f ca="1">IF(L29&lt;&gt;"",INDEX(회계장부!$C:$C,L29,1),"")</f>
        <v/>
      </c>
      <c r="E23" s="345"/>
      <c r="F23" s="348" t="str">
        <f ca="1">IF(L35&lt;&gt;"",INDEX(회계장부!$B:$B,L35,1),"")</f>
        <v/>
      </c>
      <c r="G23" s="349"/>
      <c r="H23" s="138" t="str">
        <f ca="1">IF(L35&lt;&gt;"",INDEX(회계장부!$C:$C,L35,1),"")</f>
        <v/>
      </c>
      <c r="J23" s="146">
        <v>8</v>
      </c>
      <c r="K23" s="153" t="str">
        <f t="array" aca="1" ref="K23" ca="1">IF($J23&lt;=K$15,MATCH(1,(OFFSET(회계장부!$A$1,K22,,$J$13-K22+1,)=기준일자)*(OFFSET(회계장부!$G$1,K22,,$J$13-K22+1,)=K$14),0)+K22,"")</f>
        <v/>
      </c>
      <c r="L23" s="153" t="str">
        <f t="array" aca="1" ref="L23" ca="1">IF($J23&lt;=L$15,MATCH(1,(OFFSET(회계장부!$A$1,L22,,$J$13-L22+1,)=기준일자)*(OFFSET(회계장부!$G$1,L22,,$J$13-L22+1,)=L$14),0)+L22,"")</f>
        <v/>
      </c>
    </row>
    <row r="24" spans="1:15" ht="24.95" customHeight="1" thickBot="1">
      <c r="A24" s="317"/>
      <c r="B24" s="342" t="str">
        <f ca="1">IF(L30&lt;&gt;"",INDEX(회계장부!$B:$B,L30,1),"")</f>
        <v/>
      </c>
      <c r="C24" s="343"/>
      <c r="D24" s="344" t="str">
        <f ca="1">IF(L30&lt;&gt;"",INDEX(회계장부!$C:$C,L30,1),"")</f>
        <v/>
      </c>
      <c r="E24" s="345"/>
      <c r="F24" s="346" t="str">
        <f ca="1">IF(L36&lt;&gt;"",INDEX(회계장부!$B:$B,L36,1),"")</f>
        <v/>
      </c>
      <c r="G24" s="347"/>
      <c r="H24" s="140" t="str">
        <f ca="1">IF(L36&lt;&gt;"",INDEX(회계장부!$C:$C,L36,1),"")</f>
        <v/>
      </c>
      <c r="J24" s="146">
        <v>9</v>
      </c>
      <c r="K24" s="153" t="str">
        <f t="array" aca="1" ref="K24" ca="1">IF($J24&lt;=K$15,MATCH(1,(OFFSET(회계장부!$A$1,K23,,$J$13-K23+1,)=기준일자)*(OFFSET(회계장부!$G$1,K23,,$J$13-K23+1,)=K$14),0)+K23,"")</f>
        <v/>
      </c>
      <c r="L24" s="153" t="str">
        <f t="array" aca="1" ref="L24" ca="1">IF($J24&lt;=L$15,MATCH(1,(OFFSET(회계장부!$A$1,L23,,$J$13-L23+1,)=기준일자)*(OFFSET(회계장부!$G$1,L23,,$J$13-L23+1,)=L$14),0)+L23,"")</f>
        <v/>
      </c>
    </row>
    <row r="25" spans="1:15" ht="24.95" customHeight="1" thickBot="1">
      <c r="A25" s="317"/>
      <c r="B25" s="310" t="str">
        <f ca="1">IF(L31&lt;&gt;"",INDEX(회계장부!$B:$B,L31,1),"")</f>
        <v/>
      </c>
      <c r="C25" s="311"/>
      <c r="D25" s="312" t="str">
        <f ca="1">IF(L31&lt;&gt;"",INDEX(회계장부!$C:$C,L31,1),"")</f>
        <v/>
      </c>
      <c r="E25" s="313"/>
      <c r="F25" s="314" t="s">
        <v>110</v>
      </c>
      <c r="G25" s="315"/>
      <c r="H25" s="143">
        <f ca="1">'결의서(기본)'!H25</f>
        <v>200</v>
      </c>
      <c r="J25" s="146">
        <v>10</v>
      </c>
      <c r="K25" s="153" t="str">
        <f t="array" aca="1" ref="K25" ca="1">IF($J25&lt;=K$15,MATCH(1,(OFFSET(회계장부!$A$1,K24,,$J$13-K24+1,)=기준일자)*(OFFSET(회계장부!$G$1,K24,,$J$13-K24+1,)=K$14),0)+K24,"")</f>
        <v/>
      </c>
      <c r="L25" s="158" t="str">
        <f t="array" aca="1" ref="L25" ca="1">IF($J25&lt;=L$15,MATCH(1,(OFFSET(회계장부!$A$1,L24,,$J$13-L24+1,)=기준일자)*(OFFSET(회계장부!$G$1,L24,,$J$13-L24+1,)=L$14),0)+L24,"")</f>
        <v/>
      </c>
    </row>
    <row r="26" spans="1:15" ht="24.95" customHeight="1" thickBot="1">
      <c r="A26" s="317" t="s">
        <v>36</v>
      </c>
      <c r="B26" s="319" t="s">
        <v>37</v>
      </c>
      <c r="C26" s="319"/>
      <c r="D26" s="320" t="s">
        <v>38</v>
      </c>
      <c r="E26" s="320"/>
      <c r="F26" s="321"/>
      <c r="G26" s="322" t="s">
        <v>92</v>
      </c>
      <c r="H26" s="323"/>
      <c r="J26" s="146">
        <v>11</v>
      </c>
      <c r="K26" s="159" t="str">
        <f t="array" aca="1" ref="K26" ca="1">IF($J26&lt;=K$15,MATCH(1,(OFFSET(회계장부!$A$1,K25,,$J$13-K25+1,)=기준일자)*(OFFSET(회계장부!$G$1,K25,,$J$13-K25+1,)=K$14),0)+K25,"")</f>
        <v/>
      </c>
      <c r="L26" s="160" t="str">
        <f t="array" aca="1" ref="L26" ca="1">IF($J26&lt;=L$15,MATCH(1,(OFFSET(회계장부!$A$1,L25,,$J$13-L25+1,)=기준일자)*(OFFSET(회계장부!$G$1,L25,,$J$13-L25+1,)=L$14),0)+L25,"")</f>
        <v/>
      </c>
    </row>
    <row r="27" spans="1:15" ht="24.95" customHeight="1" thickBot="1">
      <c r="A27" s="317"/>
      <c r="B27" s="324"/>
      <c r="C27" s="325"/>
      <c r="D27" s="328"/>
      <c r="E27" s="329"/>
      <c r="F27" s="330"/>
      <c r="G27" s="319"/>
      <c r="H27" s="334"/>
      <c r="J27" s="146">
        <v>12</v>
      </c>
      <c r="K27" s="159" t="str">
        <f t="array" aca="1" ref="K27" ca="1">IF($J27&lt;=K$15,MATCH(1,(OFFSET(회계장부!$A$1,K26,,$J$13-K26+1,)=기준일자)*(OFFSET(회계장부!$G$1,K26,,$J$13-K26+1,)=K$14),0)+K26,"")</f>
        <v/>
      </c>
      <c r="L27" s="160" t="str">
        <f t="array" aca="1" ref="L27" ca="1">IF($J27&lt;=L$15,MATCH(1,(OFFSET(회계장부!$A$1,L26,,$J$13-L26+1,)=기준일자)*(OFFSET(회계장부!$G$1,L26,,$J$13-L26+1,)=L$14),0)+L26,"")</f>
        <v/>
      </c>
    </row>
    <row r="28" spans="1:15" ht="24.95" customHeight="1" thickBot="1">
      <c r="A28" s="318"/>
      <c r="B28" s="326"/>
      <c r="C28" s="327"/>
      <c r="D28" s="331"/>
      <c r="E28" s="332"/>
      <c r="F28" s="333"/>
      <c r="G28" s="335"/>
      <c r="H28" s="336"/>
      <c r="J28" s="146">
        <v>13</v>
      </c>
      <c r="K28" s="159" t="str">
        <f t="array" aca="1" ref="K28" ca="1">IF($J28&lt;=K$15,MATCH(1,(OFFSET(회계장부!$A$1,K27,,$J$13-K27+1,)=기준일자)*(OFFSET(회계장부!$G$1,K27,,$J$13-K27+1,)=K$14),0)+K27,"")</f>
        <v/>
      </c>
      <c r="L28" s="160" t="str">
        <f t="array" aca="1" ref="L28" ca="1">IF($J28&lt;=L$15,MATCH(1,(OFFSET(회계장부!$A$1,L27,,$J$13-L27+1,)=기준일자)*(OFFSET(회계장부!$G$1,L27,,$J$13-L27+1,)=L$14),0)+L27,"")</f>
        <v/>
      </c>
    </row>
    <row r="29" spans="1:15" ht="24.95" customHeight="1" thickBot="1">
      <c r="A29" s="316" t="s">
        <v>39</v>
      </c>
      <c r="B29" s="316"/>
      <c r="C29" s="316"/>
      <c r="D29" s="316"/>
      <c r="E29" s="316"/>
      <c r="F29" s="316"/>
      <c r="G29" s="316"/>
      <c r="H29" s="316"/>
      <c r="J29" s="146">
        <v>14</v>
      </c>
      <c r="K29" s="159" t="str">
        <f t="array" aca="1" ref="K29" ca="1">IF($J29&lt;=K$15,MATCH(1,(OFFSET(회계장부!$A$1,K28,,$J$13-K28+1,)=기준일자)*(OFFSET(회계장부!$G$1,K28,,$J$13-K28+1,)=K$14),0)+K28,"")</f>
        <v/>
      </c>
      <c r="L29" s="160" t="str">
        <f t="array" aca="1" ref="L29" ca="1">IF($J29&lt;=L$15,MATCH(1,(OFFSET(회계장부!$A$1,L28,,$J$13-L28+1,)=기준일자)*(OFFSET(회계장부!$G$1,L28,,$J$13-L28+1,)=L$14),0)+L28,"")</f>
        <v/>
      </c>
    </row>
    <row r="30" spans="1:15" ht="24.95" customHeight="1" thickBot="1">
      <c r="J30" s="146">
        <v>15</v>
      </c>
      <c r="K30" s="159" t="str">
        <f t="array" aca="1" ref="K30" ca="1">IF($J30&lt;=K$15,MATCH(1,(OFFSET(회계장부!$A$1,K29,,$J$13-K29+1,)=기준일자)*(OFFSET(회계장부!$G$1,K29,,$J$13-K29+1,)=K$14),0)+K29,"")</f>
        <v/>
      </c>
      <c r="L30" s="160" t="str">
        <f t="array" aca="1" ref="L30" ca="1">IF($J30&lt;=L$15,MATCH(1,(OFFSET(회계장부!$A$1,L29,,$J$13-L29+1,)=기준일자)*(OFFSET(회계장부!$G$1,L29,,$J$13-L29+1,)=L$14),0)+L29,"")</f>
        <v/>
      </c>
    </row>
    <row r="31" spans="1:15" ht="24.95" customHeight="1" thickBot="1">
      <c r="J31" s="146">
        <v>16</v>
      </c>
      <c r="K31" s="162" t="str">
        <f t="array" aca="1" ref="K31" ca="1">IF($J31&lt;=K$15,MATCH(1,(OFFSET(회계장부!$A$1,K30,,$J$13-K30+1,)=기준일자)*(OFFSET(회계장부!$G$1,K30,,$J$13-K30+1,)=K$14),0)+K30,"")</f>
        <v/>
      </c>
      <c r="L31" s="160" t="str">
        <f t="array" aca="1" ref="L31" ca="1">IF($J31&lt;=L$15,MATCH(1,(OFFSET(회계장부!$A$1,L30,,$J$13-L30+1,)=기준일자)*(OFFSET(회계장부!$G$1,L30,,$J$13-L30+1,)=L$14),0)+L30,"")</f>
        <v/>
      </c>
    </row>
    <row r="32" spans="1:15" ht="24.95" customHeight="1" thickBot="1">
      <c r="J32" s="146">
        <v>17</v>
      </c>
      <c r="K32" s="163" t="str">
        <f t="array" aca="1" ref="K32" ca="1">IF($J32&lt;=K$15,MATCH(1,(OFFSET(회계장부!$A$1,K31,,$J$13-K31+1,)=기준일자)*(OFFSET(회계장부!$G$1,K31,,$J$13-K31+1,)=K$14),0)+K31,"")</f>
        <v/>
      </c>
      <c r="L32" s="160" t="str">
        <f t="array" aca="1" ref="L32" ca="1">IF($J32&lt;=L$15,MATCH(1,(OFFSET(회계장부!$A$1,L31,,$J$13-L31+1,)=기준일자)*(OFFSET(회계장부!$G$1,L31,,$J$13-L31+1,)=L$14),0)+L31,"")</f>
        <v/>
      </c>
    </row>
    <row r="33" spans="10:12" ht="24.95" customHeight="1" thickBot="1">
      <c r="J33" s="146">
        <v>18</v>
      </c>
      <c r="K33" s="164" t="str">
        <f t="array" aca="1" ref="K33" ca="1">IF($J33&lt;=K$15,MATCH(1,(OFFSET(회계장부!$A$1,K32,,$J$13-K32+1,)=기준일자)*(OFFSET(회계장부!$G$1,K32,,$J$13-K32+1,)=K$14),0)+K32,"")</f>
        <v/>
      </c>
      <c r="L33" s="160" t="str">
        <f t="array" aca="1" ref="L33" ca="1">IF($J33&lt;=L$15,MATCH(1,(OFFSET(회계장부!$A$1,L32,,$J$13-L32+1,)=기준일자)*(OFFSET(회계장부!$G$1,L32,,$J$13-L32+1,)=L$14),0)+L32,"")</f>
        <v/>
      </c>
    </row>
    <row r="34" spans="10:12" ht="24.95" customHeight="1" thickBot="1">
      <c r="J34" s="146">
        <v>19</v>
      </c>
      <c r="K34" s="165" t="str">
        <f t="array" aca="1" ref="K34" ca="1">IF($J34&lt;=K$15,MATCH(1,(OFFSET(회계장부!$A$1,K33,,$J$13-K33+1,)=기준일자)*(OFFSET(회계장부!$G$1,K33,,$J$13-K33+1,)=K$14),0)+K33,"")</f>
        <v/>
      </c>
      <c r="L34" s="160" t="str">
        <f t="array" aca="1" ref="L34" ca="1">IF($J34&lt;=L$15,MATCH(1,(OFFSET(회계장부!$A$1,L33,,$J$13-L33+1,)=기준일자)*(OFFSET(회계장부!$G$1,L33,,$J$13-L33+1,)=L$14),0)+L33,"")</f>
        <v/>
      </c>
    </row>
    <row r="35" spans="10:12" ht="24.95" customHeight="1" thickBot="1">
      <c r="J35" s="146">
        <v>20</v>
      </c>
      <c r="K35" s="165" t="str">
        <f t="array" aca="1" ref="K35" ca="1">IF($J35&lt;=K$15,MATCH(1,(OFFSET(회계장부!$A$1,K34,,$J$13-K34+1,)=기준일자)*(OFFSET(회계장부!$G$1,K34,,$J$13-K34+1,)=K$14),0)+K34,"")</f>
        <v/>
      </c>
      <c r="L35" s="160" t="str">
        <f t="array" aca="1" ref="L35" ca="1">IF($J35&lt;=L$15,MATCH(1,(OFFSET(회계장부!$A$1,L34,,$J$13-L34+1,)=기준일자)*(OFFSET(회계장부!$G$1,L34,,$J$13-L34+1,)=L$14),0)+L34,"")</f>
        <v/>
      </c>
    </row>
    <row r="36" spans="10:12" ht="24.95" customHeight="1" thickBot="1">
      <c r="J36" s="146">
        <v>21</v>
      </c>
      <c r="K36" s="165" t="str">
        <f t="array" aca="1" ref="K36" ca="1">IF($J36&lt;=K$15,MATCH(1,(OFFSET(회계장부!$A$1,K35,,$J$13-K35+1,)=기준일자)*(OFFSET(회계장부!$G$1,K35,,$J$13-K35+1,)=K$14),0)+K35,"")</f>
        <v/>
      </c>
      <c r="L36" s="160" t="str">
        <f t="array" aca="1" ref="L36" ca="1">IF($J36&lt;=L$15,MATCH(1,(OFFSET(회계장부!$A$1,L35,,$J$13-L35+1,)=기준일자)*(OFFSET(회계장부!$G$1,L35,,$J$13-L35+1,)=L$14),0)+L35,"")</f>
        <v/>
      </c>
    </row>
    <row r="37" spans="10:12" ht="24.95" customHeight="1">
      <c r="J37" s="146">
        <v>22</v>
      </c>
      <c r="K37" s="166" t="str">
        <f t="array" aca="1" ref="K37" ca="1">IF($J37&lt;=K$15,MATCH(1,(OFFSET(회계장부!$A$1,K36,,$J$13-K36+1,)=기준일자)*(OFFSET(회계장부!$G$1,K36,,$J$13-K36+1,)=K$14),0)+K36,"")</f>
        <v/>
      </c>
      <c r="L37" s="167"/>
    </row>
    <row r="38" spans="10:12" ht="24.95" customHeight="1">
      <c r="J38" s="146">
        <v>23</v>
      </c>
      <c r="K38" s="166" t="str">
        <f t="array" aca="1" ref="K38" ca="1">IF($J38&lt;=K$15,MATCH(1,(OFFSET(회계장부!$A$1,K37,,$J$13-K37+1,)=기준일자)*(OFFSET(회계장부!$G$1,K37,,$J$13-K37+1,)=K$14),0)+K37,"")</f>
        <v/>
      </c>
    </row>
    <row r="39" spans="10:12" ht="24.95" customHeight="1">
      <c r="J39" s="146">
        <v>24</v>
      </c>
      <c r="K39" s="166" t="str">
        <f t="array" aca="1" ref="K39" ca="1">IF($J39&lt;=K$15,MATCH(1,(OFFSET(회계장부!$A$1,K38,,$J$13-K38+1,)=기준일자)*(OFFSET(회계장부!$G$1,K38,,$J$13-K38+1,)=K$14),0)+K38,"")</f>
        <v/>
      </c>
    </row>
    <row r="40" spans="10:12" ht="24.95" customHeight="1">
      <c r="J40" s="146">
        <v>25</v>
      </c>
      <c r="K40" s="166" t="str">
        <f t="array" aca="1" ref="K40" ca="1">IF($J40&lt;=K$15,MATCH(1,(OFFSET(회계장부!$A$1,K39,,$J$13-K39+1,)=기준일자)*(OFFSET(회계장부!$G$1,K39,,$J$13-K39+1,)=K$14),0)+K39,"")</f>
        <v/>
      </c>
    </row>
    <row r="41" spans="10:12" ht="24.95" customHeight="1">
      <c r="J41" s="146">
        <v>26</v>
      </c>
      <c r="K41" s="166" t="str">
        <f t="array" aca="1" ref="K41" ca="1">IF($J41&lt;=K$15,MATCH(1,(OFFSET(회계장부!$A$1,K40,,$J$13-K40+1,)=기준일자)*(OFFSET(회계장부!$G$1,K40,,$J$13-K40+1,)=K$14),0)+K40,"")</f>
        <v/>
      </c>
    </row>
    <row r="42" spans="10:12" ht="24.95" customHeight="1">
      <c r="J42" s="146">
        <v>27</v>
      </c>
      <c r="K42" s="166" t="str">
        <f t="array" aca="1" ref="K42" ca="1">IF($J42&lt;=K$15,MATCH(1,(OFFSET(회계장부!$A$1,K41,,$J$13-K41+1,)=기준일자)*(OFFSET(회계장부!$G$1,K41,,$J$13-K41+1,)=K$14),0)+K41,"")</f>
        <v/>
      </c>
    </row>
    <row r="43" spans="10:12" ht="24.95" customHeight="1">
      <c r="J43" s="146">
        <v>28</v>
      </c>
      <c r="K43" s="166" t="str">
        <f t="array" aca="1" ref="K43" ca="1">IF($J43&lt;=K$15,MATCH(1,(OFFSET(회계장부!$A$1,K42,,$J$13-K42+1,)=기준일자)*(OFFSET(회계장부!$G$1,K42,,$J$13-K42+1,)=K$14),0)+K42,"")</f>
        <v/>
      </c>
    </row>
    <row r="44" spans="10:12" ht="24.95" customHeight="1">
      <c r="J44" s="146">
        <v>29</v>
      </c>
      <c r="K44" s="166" t="str">
        <f t="array" aca="1" ref="K44" ca="1">IF($J44&lt;=K$15,MATCH(1,(OFFSET(회계장부!$A$1,K43,,$J$13-K43+1,)=기준일자)*(OFFSET(회계장부!$G$1,K43,,$J$13-K43+1,)=K$14),0)+K43,"")</f>
        <v/>
      </c>
    </row>
    <row r="45" spans="10:12" ht="24.95" customHeight="1">
      <c r="J45" s="146">
        <v>30</v>
      </c>
      <c r="K45" s="166" t="str">
        <f t="array" aca="1" ref="K45" ca="1">IF($J45&lt;=K$15,MATCH(1,(OFFSET(회계장부!$A$1,K44,,$J$13-K44+1,)=기준일자)*(OFFSET(회계장부!$G$1,K44,,$J$13-K44+1,)=K$14),0)+K44,"")</f>
        <v/>
      </c>
    </row>
    <row r="46" spans="10:12" ht="24.95" customHeight="1">
      <c r="J46" s="146">
        <v>31</v>
      </c>
      <c r="K46" s="166" t="str">
        <f t="array" aca="1" ref="K46" ca="1">IF($J46&lt;=K$15,MATCH(1,(OFFSET(회계장부!$A$1,K45,,$J$13-K45+1,)=기준일자)*(OFFSET(회계장부!$G$1,K45,,$J$13-K45+1,)=K$14),0)+K45,"")</f>
        <v/>
      </c>
    </row>
    <row r="47" spans="10:12" ht="24.95" customHeight="1">
      <c r="J47" s="146">
        <v>32</v>
      </c>
      <c r="K47" s="166" t="str">
        <f t="array" aca="1" ref="K47" ca="1">IF($J47&lt;=K$15,MATCH(1,(OFFSET(회계장부!$A$1,K46,,$J$13-K46+1,)=기준일자)*(OFFSET(회계장부!$G$1,K46,,$J$13-K46+1,)=K$14),0)+K46,"")</f>
        <v/>
      </c>
    </row>
    <row r="48" spans="10:12" ht="24.95" customHeight="1" thickBot="1">
      <c r="J48" s="146">
        <v>33</v>
      </c>
      <c r="K48" s="168" t="str">
        <f t="array" aca="1" ref="K48" ca="1">IF($J48&lt;=K$15,MATCH(1,(OFFSET(회계장부!$A$1,K47,,$J$13-K47+1,)=기준일자)*(OFFSET(회계장부!$G$1,K47,,$J$13-K47+1,)=K$14),0)+K47,"")</f>
        <v/>
      </c>
    </row>
  </sheetData>
  <sheetProtection algorithmName="SHA-512" hashValue="pszhN5EfLbACZrK4m7JjGaxir2vTlFpJ7uurXLpFZRG5K7S1iiU7ess7B8lL4tpfzXNvnzIRB0SrY76xNbsgGw==" saltValue="zZS4MR69eEKiobTBgOProw==" spinCount="100000" sheet="1" objects="1" scenarios="1"/>
  <mergeCells count="73">
    <mergeCell ref="C5:F5"/>
    <mergeCell ref="G5:H5"/>
    <mergeCell ref="A1:H1"/>
    <mergeCell ref="A2:H2"/>
    <mergeCell ref="B3:E3"/>
    <mergeCell ref="F3:G3"/>
    <mergeCell ref="E4:F4"/>
    <mergeCell ref="A6:A14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D21:E21"/>
    <mergeCell ref="F21:G21"/>
    <mergeCell ref="B22:C22"/>
    <mergeCell ref="A15:A17"/>
    <mergeCell ref="B15:C15"/>
    <mergeCell ref="D15:F15"/>
    <mergeCell ref="G15:H15"/>
    <mergeCell ref="E16:F16"/>
    <mergeCell ref="E17:F17"/>
    <mergeCell ref="A18:A19"/>
    <mergeCell ref="E18:F18"/>
    <mergeCell ref="G18:H18"/>
    <mergeCell ref="E19:F19"/>
    <mergeCell ref="G19:H19"/>
    <mergeCell ref="D22:E22"/>
    <mergeCell ref="F22:G22"/>
    <mergeCell ref="B24:C24"/>
    <mergeCell ref="D24:E24"/>
    <mergeCell ref="F24:G24"/>
    <mergeCell ref="B23:C23"/>
    <mergeCell ref="D23:E23"/>
    <mergeCell ref="F23:G23"/>
    <mergeCell ref="B25:C25"/>
    <mergeCell ref="D25:E25"/>
    <mergeCell ref="F25:G25"/>
    <mergeCell ref="A29:H29"/>
    <mergeCell ref="A26:A28"/>
    <mergeCell ref="B26:C26"/>
    <mergeCell ref="D26:F26"/>
    <mergeCell ref="G26:H26"/>
    <mergeCell ref="B27:C28"/>
    <mergeCell ref="D27:F28"/>
    <mergeCell ref="G27:H28"/>
    <mergeCell ref="A20:A25"/>
    <mergeCell ref="B20:C20"/>
    <mergeCell ref="D20:E20"/>
    <mergeCell ref="F20:G20"/>
    <mergeCell ref="B21:C21"/>
  </mergeCells>
  <phoneticPr fontId="2" type="noConversion"/>
  <conditionalFormatting sqref="A2:H2">
    <cfRule type="expression" dxfId="18" priority="5">
      <formula>LEN(A2)&gt;0</formula>
    </cfRule>
  </conditionalFormatting>
  <conditionalFormatting sqref="F13:G13">
    <cfRule type="containsText" dxfId="17" priority="4" operator="containsText" text="&lt;&lt; 다음면에 계속 &gt;&gt;">
      <formula>NOT(ISERROR(SEARCH("&lt;&lt; 다음면에 계속 &gt;&gt;",F13)))</formula>
    </cfRule>
  </conditionalFormatting>
  <conditionalFormatting sqref="F24:G24">
    <cfRule type="containsText" dxfId="16" priority="3" operator="containsText" text="&lt;&lt; 다음면에 계속 &gt;&gt;">
      <formula>NOT(ISERROR(SEARCH("&lt;&lt; 다음면에 계속 &gt;&gt;",F24)))</formula>
    </cfRule>
  </conditionalFormatting>
  <conditionalFormatting sqref="A1:H29">
    <cfRule type="expression" dxfId="15" priority="1">
      <formula>OR($L$15&lt;11,$L$15&gt;21)</formula>
    </cfRule>
    <cfRule type="expression" dxfId="14" priority="2">
      <formula>OR($K$15&lt;17,$K$15&gt;33)</formula>
    </cfRule>
  </conditionalFormatting>
  <pageMargins left="0.27559055118110237" right="7.874015748031496E-2" top="0.47244094488188981" bottom="0.31496062992125984" header="0.31496062992125984" footer="0.31496062992125984"/>
  <pageSetup paperSize="9" orientation="portrait" horizontalDpi="4294967293" verticalDpi="4294967293" r:id="rId1"/>
  <colBreaks count="1" manualBreakCount="1">
    <brk id="8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4"/>
  <sheetViews>
    <sheetView workbookViewId="0">
      <selection activeCell="C7" sqref="C7"/>
    </sheetView>
  </sheetViews>
  <sheetFormatPr defaultRowHeight="24.95" customHeight="1"/>
  <cols>
    <col min="1" max="1" width="9" style="1"/>
    <col min="2" max="6" width="15.625" style="12" customWidth="1"/>
    <col min="7" max="8" width="9" style="12"/>
  </cols>
  <sheetData>
    <row r="1" spans="1:6" customFormat="1" ht="24.95" customHeight="1">
      <c r="A1" s="44" t="s">
        <v>46</v>
      </c>
      <c r="B1" s="375" t="s">
        <v>41</v>
      </c>
      <c r="C1" s="375"/>
      <c r="D1" s="375" t="s">
        <v>29</v>
      </c>
      <c r="E1" s="375"/>
      <c r="F1" s="375" t="s">
        <v>42</v>
      </c>
    </row>
    <row r="2" spans="1:6" customFormat="1" ht="24.95" customHeight="1">
      <c r="A2" s="44" t="s">
        <v>12</v>
      </c>
      <c r="B2" s="45" t="s">
        <v>14</v>
      </c>
      <c r="C2" s="45" t="s">
        <v>15</v>
      </c>
      <c r="D2" s="45" t="s">
        <v>14</v>
      </c>
      <c r="E2" s="45" t="s">
        <v>15</v>
      </c>
      <c r="F2" s="375"/>
    </row>
    <row r="3" spans="1:6" customFormat="1" ht="24.95" customHeight="1">
      <c r="A3" s="44">
        <v>1</v>
      </c>
      <c r="B3" s="43">
        <f>SUMIFS(수입,회계월,월별누계!A3)</f>
        <v>300</v>
      </c>
      <c r="C3" s="43">
        <f>SUMIFS(지출,회계월,월별누계!A3)</f>
        <v>0</v>
      </c>
      <c r="D3" s="43">
        <f>SUMIFS(수입,회계월,"&lt;="&amp; 월별누계!A3)</f>
        <v>300</v>
      </c>
      <c r="E3" s="43">
        <f>SUMIFS(지출,회계월,"&lt;="&amp; 월별누계!A3)</f>
        <v>0</v>
      </c>
      <c r="F3" s="43">
        <f>D3-E3</f>
        <v>300</v>
      </c>
    </row>
    <row r="4" spans="1:6" customFormat="1" ht="24.95" customHeight="1">
      <c r="A4" s="44">
        <v>2</v>
      </c>
      <c r="B4" s="43">
        <f>SUMIFS(수입,회계월,월별누계!A4)</f>
        <v>0</v>
      </c>
      <c r="C4" s="43">
        <f>SUMIFS(지출,회계월,월별누계!A4)</f>
        <v>0</v>
      </c>
      <c r="D4" s="43">
        <f>SUMIFS(수입,회계월,"&lt;="&amp; 월별누계!A4)</f>
        <v>300</v>
      </c>
      <c r="E4" s="43">
        <f>SUMIFS(지출,회계월,"&lt;="&amp; 월별누계!A4)</f>
        <v>0</v>
      </c>
      <c r="F4" s="43">
        <f t="shared" ref="F4:F14" si="0">D4-E4</f>
        <v>300</v>
      </c>
    </row>
    <row r="5" spans="1:6" customFormat="1" ht="24.95" customHeight="1">
      <c r="A5" s="44">
        <v>3</v>
      </c>
      <c r="B5" s="43">
        <f>SUMIFS(수입,회계월,월별누계!A5)</f>
        <v>0</v>
      </c>
      <c r="C5" s="43">
        <f>SUMIFS(지출,회계월,월별누계!A5)</f>
        <v>0</v>
      </c>
      <c r="D5" s="43">
        <f>SUMIFS(수입,회계월,"&lt;="&amp; 월별누계!A5)</f>
        <v>300</v>
      </c>
      <c r="E5" s="43">
        <f>SUMIFS(지출,회계월,"&lt;="&amp; 월별누계!A5)</f>
        <v>0</v>
      </c>
      <c r="F5" s="43">
        <f t="shared" si="0"/>
        <v>300</v>
      </c>
    </row>
    <row r="6" spans="1:6" customFormat="1" ht="24.95" customHeight="1">
      <c r="A6" s="44">
        <v>4</v>
      </c>
      <c r="B6" s="43">
        <f>SUMIFS(수입,회계월,월별누계!A6)</f>
        <v>0</v>
      </c>
      <c r="C6" s="43">
        <f>SUMIFS(지출,회계월,월별누계!A6)</f>
        <v>0</v>
      </c>
      <c r="D6" s="43">
        <f>SUMIFS(수입,회계월,"&lt;="&amp; 월별누계!A6)</f>
        <v>300</v>
      </c>
      <c r="E6" s="43">
        <f>SUMIFS(지출,회계월,"&lt;="&amp; 월별누계!A6)</f>
        <v>0</v>
      </c>
      <c r="F6" s="43">
        <f t="shared" si="0"/>
        <v>300</v>
      </c>
    </row>
    <row r="7" spans="1:6" customFormat="1" ht="24.95" customHeight="1">
      <c r="A7" s="44">
        <v>5</v>
      </c>
      <c r="B7" s="43">
        <f>SUMIFS(수입,회계월,월별누계!A7)</f>
        <v>0</v>
      </c>
      <c r="C7" s="43">
        <f>SUMIFS(지출,회계월,월별누계!A7)</f>
        <v>0</v>
      </c>
      <c r="D7" s="43">
        <f>SUMIFS(수입,회계월,"&lt;="&amp; 월별누계!A7)</f>
        <v>300</v>
      </c>
      <c r="E7" s="43">
        <f>SUMIFS(지출,회계월,"&lt;="&amp; 월별누계!A7)</f>
        <v>0</v>
      </c>
      <c r="F7" s="43">
        <f t="shared" si="0"/>
        <v>300</v>
      </c>
    </row>
    <row r="8" spans="1:6" customFormat="1" ht="24.95" customHeight="1">
      <c r="A8" s="44">
        <v>6</v>
      </c>
      <c r="B8" s="43">
        <f>SUMIFS(수입,회계월,월별누계!A8)</f>
        <v>0</v>
      </c>
      <c r="C8" s="43">
        <f>SUMIFS(지출,회계월,월별누계!A8)</f>
        <v>0</v>
      </c>
      <c r="D8" s="43">
        <f>SUMIFS(수입,회계월,"&lt;="&amp; 월별누계!A8)</f>
        <v>300</v>
      </c>
      <c r="E8" s="43">
        <f>SUMIFS(지출,회계월,"&lt;="&amp; 월별누계!A8)</f>
        <v>0</v>
      </c>
      <c r="F8" s="43">
        <f t="shared" si="0"/>
        <v>300</v>
      </c>
    </row>
    <row r="9" spans="1:6" customFormat="1" ht="24.95" customHeight="1">
      <c r="A9" s="44">
        <v>7</v>
      </c>
      <c r="B9" s="43">
        <f>SUMIFS(수입,회계월,월별누계!A9)</f>
        <v>0</v>
      </c>
      <c r="C9" s="43">
        <f>SUMIFS(지출,회계월,월별누계!A9)</f>
        <v>0</v>
      </c>
      <c r="D9" s="43">
        <f>SUMIFS(수입,회계월,"&lt;="&amp; 월별누계!A9)</f>
        <v>300</v>
      </c>
      <c r="E9" s="43">
        <f>SUMIFS(지출,회계월,"&lt;="&amp; 월별누계!A9)</f>
        <v>0</v>
      </c>
      <c r="F9" s="43">
        <f t="shared" si="0"/>
        <v>300</v>
      </c>
    </row>
    <row r="10" spans="1:6" customFormat="1" ht="24.95" customHeight="1">
      <c r="A10" s="44">
        <v>8</v>
      </c>
      <c r="B10" s="43">
        <f>SUMIFS(수입,회계월,월별누계!A10)</f>
        <v>0</v>
      </c>
      <c r="C10" s="43">
        <f>SUMIFS(지출,회계월,월별누계!A10)</f>
        <v>0</v>
      </c>
      <c r="D10" s="43">
        <f>SUMIFS(수입,회계월,"&lt;="&amp; 월별누계!A10)</f>
        <v>300</v>
      </c>
      <c r="E10" s="43">
        <f>SUMIFS(지출,회계월,"&lt;="&amp; 월별누계!A10)</f>
        <v>0</v>
      </c>
      <c r="F10" s="43">
        <f t="shared" si="0"/>
        <v>300</v>
      </c>
    </row>
    <row r="11" spans="1:6" customFormat="1" ht="24.95" customHeight="1">
      <c r="A11" s="44">
        <v>9</v>
      </c>
      <c r="B11" s="43">
        <f>SUMIFS(수입,회계월,월별누계!A11)</f>
        <v>0</v>
      </c>
      <c r="C11" s="43">
        <f>SUMIFS(지출,회계월,월별누계!A11)</f>
        <v>0</v>
      </c>
      <c r="D11" s="43">
        <f>SUMIFS(수입,회계월,"&lt;="&amp; 월별누계!A11)</f>
        <v>300</v>
      </c>
      <c r="E11" s="43">
        <f>SUMIFS(지출,회계월,"&lt;="&amp; 월별누계!A11)</f>
        <v>0</v>
      </c>
      <c r="F11" s="43">
        <f t="shared" si="0"/>
        <v>300</v>
      </c>
    </row>
    <row r="12" spans="1:6" customFormat="1" ht="24.95" customHeight="1">
      <c r="A12" s="44">
        <v>10</v>
      </c>
      <c r="B12" s="43">
        <f>SUMIFS(수입,회계월,월별누계!A12)</f>
        <v>0</v>
      </c>
      <c r="C12" s="43">
        <f>SUMIFS(지출,회계월,월별누계!A12)</f>
        <v>0</v>
      </c>
      <c r="D12" s="43">
        <f>SUMIFS(수입,회계월,"&lt;="&amp; 월별누계!A12)</f>
        <v>300</v>
      </c>
      <c r="E12" s="43">
        <f>SUMIFS(지출,회계월,"&lt;="&amp; 월별누계!A12)</f>
        <v>0</v>
      </c>
      <c r="F12" s="43">
        <f t="shared" si="0"/>
        <v>300</v>
      </c>
    </row>
    <row r="13" spans="1:6" customFormat="1" ht="24.95" customHeight="1">
      <c r="A13" s="44">
        <v>11</v>
      </c>
      <c r="B13" s="43">
        <f>SUMIFS(수입,회계월,월별누계!A13)</f>
        <v>0</v>
      </c>
      <c r="C13" s="43">
        <f>SUMIFS(지출,회계월,월별누계!A13)</f>
        <v>0</v>
      </c>
      <c r="D13" s="43">
        <f>SUMIFS(수입,회계월,"&lt;="&amp; 월별누계!A13)</f>
        <v>300</v>
      </c>
      <c r="E13" s="43">
        <f>SUMIFS(지출,회계월,"&lt;="&amp; 월별누계!A13)</f>
        <v>0</v>
      </c>
      <c r="F13" s="43">
        <f t="shared" si="0"/>
        <v>300</v>
      </c>
    </row>
    <row r="14" spans="1:6" customFormat="1" ht="24.95" customHeight="1">
      <c r="A14" s="44">
        <v>12</v>
      </c>
      <c r="B14" s="43">
        <f>SUMIFS(수입,회계월,월별누계!A14)</f>
        <v>0</v>
      </c>
      <c r="C14" s="43">
        <f>SUMIFS(지출,회계월,월별누계!A14)</f>
        <v>0</v>
      </c>
      <c r="D14" s="43">
        <f>SUMIFS(수입,회계월,"&lt;="&amp; 월별누계!A14)</f>
        <v>300</v>
      </c>
      <c r="E14" s="43">
        <f>SUMIFS(지출,회계월,"&lt;="&amp; 월별누계!A14)</f>
        <v>0</v>
      </c>
      <c r="F14" s="43">
        <f t="shared" si="0"/>
        <v>300</v>
      </c>
    </row>
  </sheetData>
  <sheetProtection algorithmName="SHA-512" hashValue="twweFy95Op8PepKv83fVd5WFz2xaOUKJcwue2UYpkM902RCjBtDMmTFhihHMb3pzqb6nUCE1Gy5Fmv9bUzIQHw==" saltValue="zQcdMIRHa3vI3ymBJXLhHw==" spinCount="100000" sheet="1" objects="1" scenarios="1"/>
  <mergeCells count="3">
    <mergeCell ref="B1:C1"/>
    <mergeCell ref="D1:E1"/>
    <mergeCell ref="F1:F2"/>
  </mergeCells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0A2A-6021-4C6F-B816-B9E67F2A3A57}">
  <dimension ref="A1:K45"/>
  <sheetViews>
    <sheetView zoomScaleNormal="100" zoomScaleSheetLayoutView="100" workbookViewId="0">
      <selection activeCell="K5" sqref="K5"/>
    </sheetView>
  </sheetViews>
  <sheetFormatPr defaultColWidth="9" defaultRowHeight="16.5"/>
  <cols>
    <col min="1" max="1" width="12.5" style="241" customWidth="1"/>
    <col min="2" max="2" width="20.25" style="241" customWidth="1"/>
    <col min="3" max="3" width="12.875" style="85" customWidth="1"/>
    <col min="4" max="4" width="14.875" style="85" bestFit="1" customWidth="1"/>
    <col min="5" max="5" width="12.5" style="85" customWidth="1"/>
    <col min="6" max="6" width="20.375" style="85" customWidth="1"/>
    <col min="7" max="7" width="12.875" style="85" customWidth="1"/>
    <col min="8" max="8" width="14.875" style="85" bestFit="1" customWidth="1"/>
    <col min="9" max="10" width="9" style="85"/>
    <col min="11" max="11" width="12.5" style="209" bestFit="1" customWidth="1"/>
    <col min="12" max="16384" width="9" style="85"/>
  </cols>
  <sheetData>
    <row r="1" spans="1:11" ht="23.25" thickBot="1">
      <c r="A1" s="376" t="str">
        <f>IF(ISERROR(FIND("오류",회계코드!$B$25,1)),"회계 보고서","회계코드 설정에 오류가 있습니다.")</f>
        <v>회계 보고서</v>
      </c>
      <c r="B1" s="376"/>
      <c r="C1" s="376"/>
      <c r="D1" s="376"/>
      <c r="E1" s="376"/>
      <c r="F1" s="376"/>
      <c r="G1" s="376"/>
      <c r="H1" s="376"/>
    </row>
    <row r="2" spans="1:11" ht="20.25" customHeight="1">
      <c r="A2" s="377" t="str">
        <f>"(대상기간 : " &amp; YEAR(K3) &amp; "년 " &amp; MONTH(K3) &amp; "월 " &amp; DAY(K3) &amp; "일" &amp; " - " &amp; YEAR(K4) &amp; "년 " &amp; MONTH(K4) &amp; "월 " &amp; DAY(K4) &amp; "일" &amp; ")"</f>
        <v>(대상기간 : 2021년 1월 1일 - 2021년 12월 31일)</v>
      </c>
      <c r="B2" s="377"/>
      <c r="C2" s="377"/>
      <c r="D2" s="377"/>
      <c r="E2" s="377"/>
      <c r="F2" s="377"/>
      <c r="G2" s="377"/>
      <c r="H2" s="377"/>
      <c r="J2" s="210" t="s">
        <v>93</v>
      </c>
      <c r="K2" s="211" t="s">
        <v>94</v>
      </c>
    </row>
    <row r="3" spans="1:11" ht="17.25" customHeight="1" thickBot="1">
      <c r="A3" s="384" t="str">
        <f>IF(LEN(부서명)&gt;0,"대구동부교회 "&amp;부서명,"회계코드 Sheet에서 부서명을 입력하세요.")</f>
        <v>회계코드 Sheet에서 부서명을 입력하세요.</v>
      </c>
      <c r="B3" s="384"/>
      <c r="C3" s="384"/>
      <c r="D3" s="384"/>
      <c r="E3" s="384"/>
      <c r="F3" s="384"/>
      <c r="G3" s="384"/>
      <c r="H3" s="384"/>
      <c r="J3" s="212" t="s">
        <v>95</v>
      </c>
      <c r="K3" s="184">
        <v>44197</v>
      </c>
    </row>
    <row r="4" spans="1:11" s="213" customFormat="1" ht="20.100000000000001" customHeight="1" thickBot="1">
      <c r="A4" s="378" t="s">
        <v>14</v>
      </c>
      <c r="B4" s="378"/>
      <c r="C4" s="379"/>
      <c r="D4" s="380"/>
      <c r="E4" s="381" t="s">
        <v>15</v>
      </c>
      <c r="F4" s="378"/>
      <c r="G4" s="379"/>
      <c r="H4" s="380"/>
      <c r="J4" s="214" t="s">
        <v>96</v>
      </c>
      <c r="K4" s="181">
        <v>44561</v>
      </c>
    </row>
    <row r="5" spans="1:11" s="213" customFormat="1" ht="20.100000000000001" customHeight="1" thickBot="1">
      <c r="A5" s="215" t="s">
        <v>8</v>
      </c>
      <c r="B5" s="216" t="s">
        <v>7</v>
      </c>
      <c r="C5" s="382" t="s">
        <v>97</v>
      </c>
      <c r="D5" s="383"/>
      <c r="E5" s="217" t="s">
        <v>8</v>
      </c>
      <c r="F5" s="216" t="s">
        <v>7</v>
      </c>
      <c r="G5" s="382" t="s">
        <v>98</v>
      </c>
      <c r="H5" s="383"/>
      <c r="K5" s="218"/>
    </row>
    <row r="6" spans="1:11" s="213" customFormat="1" ht="20.100000000000001" customHeight="1" thickTop="1">
      <c r="A6" s="395" t="s">
        <v>6</v>
      </c>
      <c r="B6" s="219" t="s">
        <v>103</v>
      </c>
      <c r="C6" s="220">
        <f>SUMIFS(수입,항목,B6,회계장부!A:A,"&gt;="&amp;기준일자_시작일,회계장부!A:A,"&lt;="&amp;기준일자_종료일)</f>
        <v>0</v>
      </c>
      <c r="D6" s="397">
        <f>SUM(C6:C7)</f>
        <v>0</v>
      </c>
      <c r="E6" s="221" t="str">
        <f t="shared" ref="E6:E42" si="0">IFERROR(VLOOKUP(ROW(E6),지출관정렬,2,FALSE),"")</f>
        <v>간식/식대비</v>
      </c>
      <c r="F6" s="222" t="str">
        <f t="shared" ref="F6:F42" si="1">IFERROR(VLOOKUP(ROW(F6),지출항목정렬,2,FALSE),"")</f>
        <v>수/토/주일간식</v>
      </c>
      <c r="G6" s="223">
        <f>IF(ISBLANK(F6),"",SUMIFS(지출,항목,F6,회계장부!A:A,"&gt;="&amp;기준일자_시작일,회계장부!A:A,"&lt;="&amp;기준일자_종료일))</f>
        <v>0</v>
      </c>
      <c r="H6" s="224">
        <f ca="1">IF(LEN(E6)&gt;0,SUM(OFFSET(G6,,,INDEX(회계코드!$A$49:$O$49,,MATCH(E6,회계코드!$A$26:$O$26,0)),1)),"")</f>
        <v>0</v>
      </c>
      <c r="K6" s="218"/>
    </row>
    <row r="7" spans="1:11" s="213" customFormat="1" ht="20.100000000000001" customHeight="1">
      <c r="A7" s="396"/>
      <c r="B7" s="225" t="s">
        <v>56</v>
      </c>
      <c r="C7" s="220">
        <f>SUMIFS(수입,항목,B7,회계장부!A:A,"&gt;="&amp;기준일자_시작일,회계장부!A:A,"&lt;="&amp;기준일자_종료일)</f>
        <v>0</v>
      </c>
      <c r="D7" s="398"/>
      <c r="E7" s="226" t="str">
        <f t="shared" si="0"/>
        <v/>
      </c>
      <c r="F7" s="227" t="str">
        <f t="shared" si="1"/>
        <v>임원식사</v>
      </c>
      <c r="G7" s="228">
        <f>IF(ISBLANK(F7),"",SUMIFS(지출,항목,F7,회계장부!A:A,"&gt;="&amp;기준일자_시작일,회계장부!A:A,"&lt;="&amp;기준일자_종료일))</f>
        <v>0</v>
      </c>
      <c r="H7" s="229" t="str">
        <f ca="1">IF(LEN(E7)&gt;0,SUM(OFFSET(G7,,,INDEX(회계코드!$A$49:$O$49,,MATCH(E7,회계코드!$A$26:$O$26,0)),1)),"")</f>
        <v/>
      </c>
      <c r="K7" s="218"/>
    </row>
    <row r="8" spans="1:11" s="213" customFormat="1" ht="20.100000000000001" customHeight="1">
      <c r="A8" s="399" t="s">
        <v>112</v>
      </c>
      <c r="B8" s="225" t="s">
        <v>138</v>
      </c>
      <c r="C8" s="220">
        <f>SUMIFS(수입,항목,B8,회계장부!A:A,"&gt;="&amp;기준일자_시작일,회계장부!A:A,"&lt;="&amp;기준일자_종료일)</f>
        <v>0</v>
      </c>
      <c r="D8" s="402">
        <f>SUM(C8:C11)</f>
        <v>200</v>
      </c>
      <c r="E8" s="226" t="str">
        <f t="shared" si="0"/>
        <v>여름수련회</v>
      </c>
      <c r="F8" s="227" t="str">
        <f t="shared" si="1"/>
        <v>여름수련회</v>
      </c>
      <c r="G8" s="228">
        <f>IF(ISBLANK(F8),"",SUMIFS(지출,항목,F8,회계장부!A:A,"&gt;="&amp;기준일자_시작일,회계장부!A:A,"&lt;="&amp;기준일자_종료일))</f>
        <v>0</v>
      </c>
      <c r="H8" s="229">
        <f ca="1">IF(LEN(E8)&gt;0,SUM(OFFSET(G8,,,INDEX(회계코드!$A$49:$O$49,,MATCH(E8,회계코드!$A$26:$O$26,0)),1)),"")</f>
        <v>0</v>
      </c>
      <c r="K8" s="218"/>
    </row>
    <row r="9" spans="1:11" s="213" customFormat="1" ht="20.100000000000001" customHeight="1">
      <c r="A9" s="400"/>
      <c r="B9" s="230" t="s">
        <v>139</v>
      </c>
      <c r="C9" s="220">
        <f>SUMIFS(수입,항목,B9,회계장부!A:A,"&gt;="&amp;기준일자_시작일,회계장부!A:A,"&lt;="&amp;기준일자_종료일)</f>
        <v>0</v>
      </c>
      <c r="D9" s="403"/>
      <c r="E9" s="226" t="str">
        <f t="shared" si="0"/>
        <v>찬양축제/신년기도회</v>
      </c>
      <c r="F9" s="227" t="str">
        <f t="shared" si="1"/>
        <v>찬양축제</v>
      </c>
      <c r="G9" s="228">
        <f>IF(ISBLANK(F9),"",SUMIFS(지출,항목,F9,회계장부!A:A,"&gt;="&amp;기준일자_시작일,회계장부!A:A,"&lt;="&amp;기준일자_종료일))</f>
        <v>0</v>
      </c>
      <c r="H9" s="229">
        <f ca="1">IF(LEN(E9)&gt;0,SUM(OFFSET(G9,,,INDEX(회계코드!$A$49:$O$49,,MATCH(E9,회계코드!$A$26:$O$26,0)),1)),"")</f>
        <v>0</v>
      </c>
      <c r="K9" s="218"/>
    </row>
    <row r="10" spans="1:11" s="213" customFormat="1" ht="20.100000000000001" customHeight="1">
      <c r="A10" s="400"/>
      <c r="B10" s="230" t="s">
        <v>140</v>
      </c>
      <c r="C10" s="220">
        <f>SUMIFS(수입,항목,B10,회계장부!A:A,"&gt;="&amp;기준일자_시작일,회계장부!A:A,"&lt;="&amp;기준일자_종료일)</f>
        <v>0</v>
      </c>
      <c r="D10" s="403"/>
      <c r="E10" s="226" t="str">
        <f t="shared" si="0"/>
        <v/>
      </c>
      <c r="F10" s="227" t="str">
        <f t="shared" si="1"/>
        <v>신년기도회</v>
      </c>
      <c r="G10" s="228">
        <f>IF(ISBLANK(F10),"",SUMIFS(지출,항목,F10,회계장부!A:A,"&gt;="&amp;기준일자_시작일,회계장부!A:A,"&lt;="&amp;기준일자_종료일))</f>
        <v>0</v>
      </c>
      <c r="H10" s="229" t="str">
        <f ca="1">IF(LEN(E10)&gt;0,SUM(OFFSET(G10,,,INDEX(회계코드!$A$49:$O$49,,MATCH(E10,회계코드!$A$26:$O$26,0)),1)),"")</f>
        <v/>
      </c>
      <c r="K10" s="218"/>
    </row>
    <row r="11" spans="1:11" s="213" customFormat="1" ht="20.100000000000001" customHeight="1">
      <c r="A11" s="401"/>
      <c r="B11" s="230" t="s">
        <v>142</v>
      </c>
      <c r="C11" s="220">
        <f>SUMIFS(수입,항목,B11,회계장부!A:A,"&gt;="&amp;기준일자_시작일,회계장부!A:A,"&lt;="&amp;기준일자_종료일)</f>
        <v>200</v>
      </c>
      <c r="D11" s="403"/>
      <c r="E11" s="226" t="str">
        <f t="shared" si="0"/>
        <v>새가족환영회</v>
      </c>
      <c r="F11" s="227" t="str">
        <f t="shared" si="1"/>
        <v>새가족환영회</v>
      </c>
      <c r="G11" s="228">
        <f>IF(ISBLANK(F11),"",SUMIFS(지출,항목,F11,회계장부!A:A,"&gt;="&amp;기준일자_시작일,회계장부!A:A,"&lt;="&amp;기준일자_종료일))</f>
        <v>0</v>
      </c>
      <c r="H11" s="229">
        <f ca="1">IF(LEN(E11)&gt;0,SUM(OFFSET(G11,,,INDEX(회계코드!$A$49:$O$49,,MATCH(E11,회계코드!$A$26:$O$26,0)),1)),"")</f>
        <v>0</v>
      </c>
      <c r="K11" s="218"/>
    </row>
    <row r="12" spans="1:11" s="213" customFormat="1" ht="20.100000000000001" customHeight="1">
      <c r="A12" s="399" t="s">
        <v>91</v>
      </c>
      <c r="B12" s="230" t="s">
        <v>104</v>
      </c>
      <c r="C12" s="220">
        <f>SUMIFS(수입,항목,B12,회계장부!A:A,"&gt;="&amp;기준일자_시작일,회계장부!A:A,"&lt;="&amp;기준일자_종료일)</f>
        <v>0</v>
      </c>
      <c r="D12" s="402">
        <f>SUM(C12:C14)</f>
        <v>0</v>
      </c>
      <c r="E12" s="226" t="str">
        <f t="shared" si="0"/>
        <v>시상/선물</v>
      </c>
      <c r="F12" s="227" t="str">
        <f t="shared" si="1"/>
        <v>시상/선물</v>
      </c>
      <c r="G12" s="228">
        <f>IF(ISBLANK(F12),"",SUMIFS(지출,항목,F12,회계장부!A:A,"&gt;="&amp;기준일자_시작일,회계장부!A:A,"&lt;="&amp;기준일자_종료일))</f>
        <v>0</v>
      </c>
      <c r="H12" s="229">
        <f ca="1">IF(LEN(E12)&gt;0,SUM(OFFSET(G12,,,INDEX(회계코드!$A$49:$O$49,,MATCH(E12,회계코드!$A$26:$O$26,0)),1)),"")</f>
        <v>0</v>
      </c>
      <c r="K12" s="218"/>
    </row>
    <row r="13" spans="1:11" s="213" customFormat="1" ht="20.100000000000001" customHeight="1">
      <c r="A13" s="400"/>
      <c r="B13" s="225" t="s">
        <v>105</v>
      </c>
      <c r="C13" s="220">
        <f>SUMIFS(수입,항목,B13,회계장부!A:A,"&gt;="&amp;기준일자_시작일,회계장부!A:A,"&lt;="&amp;기준일자_종료일)</f>
        <v>0</v>
      </c>
      <c r="D13" s="403"/>
      <c r="E13" s="226" t="str">
        <f t="shared" si="0"/>
        <v>심방비</v>
      </c>
      <c r="F13" s="227" t="str">
        <f t="shared" si="1"/>
        <v>병문안</v>
      </c>
      <c r="G13" s="228">
        <f>IF(ISBLANK(F13),"",SUMIFS(지출,항목,F13,회계장부!A:A,"&gt;="&amp;기준일자_시작일,회계장부!A:A,"&lt;="&amp;기준일자_종료일))</f>
        <v>0</v>
      </c>
      <c r="H13" s="229">
        <f ca="1">IF(LEN(E13)&gt;0,SUM(OFFSET(G13,,,INDEX(회계코드!$A$49:$O$49,,MATCH(E13,회계코드!$A$26:$O$26,0)),1)),"")</f>
        <v>0</v>
      </c>
      <c r="K13" s="218"/>
    </row>
    <row r="14" spans="1:11" s="213" customFormat="1" ht="20.100000000000001" customHeight="1">
      <c r="A14" s="401"/>
      <c r="B14" s="225" t="s">
        <v>106</v>
      </c>
      <c r="C14" s="220">
        <f>SUMIFS(수입,항목,B14,회계장부!A:A,"&gt;="&amp;기준일자_시작일,회계장부!A:A,"&lt;="&amp;기준일자_종료일)</f>
        <v>0</v>
      </c>
      <c r="D14" s="397"/>
      <c r="E14" s="226" t="str">
        <f t="shared" si="0"/>
        <v/>
      </c>
      <c r="F14" s="227" t="str">
        <f t="shared" si="1"/>
        <v>경조사비</v>
      </c>
      <c r="G14" s="228">
        <f>IF(ISBLANK(F14),"",SUMIFS(지출,항목,F14,회계장부!A:A,"&gt;="&amp;기준일자_시작일,회계장부!A:A,"&lt;="&amp;기준일자_종료일))</f>
        <v>0</v>
      </c>
      <c r="H14" s="229" t="str">
        <f ca="1">IF(LEN(E14)&gt;0,SUM(OFFSET(G14,,,INDEX(회계코드!$A$49:$O$49,,MATCH(E14,회계코드!$A$26:$O$26,0)),1)),"")</f>
        <v/>
      </c>
      <c r="K14" s="218"/>
    </row>
    <row r="15" spans="1:11" s="213" customFormat="1" ht="20.100000000000001" customHeight="1">
      <c r="A15" s="231"/>
      <c r="B15" s="225"/>
      <c r="C15" s="232"/>
      <c r="D15" s="233"/>
      <c r="E15" s="226" t="str">
        <f t="shared" si="0"/>
        <v>한마음체육대회</v>
      </c>
      <c r="F15" s="227" t="str">
        <f t="shared" si="1"/>
        <v>한마음체육대회</v>
      </c>
      <c r="G15" s="228">
        <f>IF(ISBLANK(F15),"",SUMIFS(지출,항목,F15,회계장부!A:A,"&gt;="&amp;기준일자_시작일,회계장부!A:A,"&lt;="&amp;기준일자_종료일))</f>
        <v>0</v>
      </c>
      <c r="H15" s="229">
        <f ca="1">IF(LEN(E15)&gt;0,SUM(OFFSET(G15,,,INDEX(회계코드!$A$49:$O$49,,MATCH(E15,회계코드!$A$26:$O$26,0)),1)),"")</f>
        <v>0</v>
      </c>
      <c r="K15" s="218"/>
    </row>
    <row r="16" spans="1:11" s="213" customFormat="1" ht="20.100000000000001" customHeight="1">
      <c r="A16" s="231"/>
      <c r="B16" s="234"/>
      <c r="C16" s="232"/>
      <c r="D16" s="233"/>
      <c r="E16" s="226" t="str">
        <f t="shared" si="0"/>
        <v>육아부/경비</v>
      </c>
      <c r="F16" s="227" t="str">
        <f t="shared" si="1"/>
        <v>육아부/경비</v>
      </c>
      <c r="G16" s="228">
        <f>IF(ISBLANK(F16),"",SUMIFS(지출,항목,F16,회계장부!A:A,"&gt;="&amp;기준일자_시작일,회계장부!A:A,"&lt;="&amp;기준일자_종료일))</f>
        <v>0</v>
      </c>
      <c r="H16" s="229">
        <f ca="1">IF(LEN(E16)&gt;0,SUM(OFFSET(G16,,,INDEX(회계코드!$A$49:$O$49,,MATCH(E16,회계코드!$A$26:$O$26,0)),1)),"")</f>
        <v>0</v>
      </c>
      <c r="K16" s="218"/>
    </row>
    <row r="17" spans="1:11" s="213" customFormat="1" ht="20.100000000000001" customHeight="1">
      <c r="A17" s="231"/>
      <c r="B17" s="234"/>
      <c r="C17" s="232"/>
      <c r="D17" s="233"/>
      <c r="E17" s="226" t="str">
        <f t="shared" si="0"/>
        <v>특강/도서구입비</v>
      </c>
      <c r="F17" s="227" t="str">
        <f t="shared" si="1"/>
        <v>특강비</v>
      </c>
      <c r="G17" s="228">
        <f>IF(ISBLANK(F17),"",SUMIFS(지출,항목,F17,회계장부!A:A,"&gt;="&amp;기준일자_시작일,회계장부!A:A,"&lt;="&amp;기준일자_종료일))</f>
        <v>0</v>
      </c>
      <c r="H17" s="229">
        <f ca="1">IF(LEN(E17)&gt;0,SUM(OFFSET(G17,,,INDEX(회계코드!$A$49:$O$49,,MATCH(E17,회계코드!$A$26:$O$26,0)),1)),"")</f>
        <v>0</v>
      </c>
      <c r="K17" s="218"/>
    </row>
    <row r="18" spans="1:11" s="213" customFormat="1" ht="20.100000000000001" customHeight="1">
      <c r="A18" s="231"/>
      <c r="B18" s="234"/>
      <c r="C18" s="232"/>
      <c r="D18" s="233"/>
      <c r="E18" s="226" t="str">
        <f t="shared" si="0"/>
        <v/>
      </c>
      <c r="F18" s="227" t="str">
        <f t="shared" si="1"/>
        <v>도서구입비</v>
      </c>
      <c r="G18" s="228">
        <f>IF(ISBLANK(F18),"",SUMIFS(지출,항목,F18,회계장부!A:A,"&gt;="&amp;기준일자_시작일,회계장부!A:A,"&lt;="&amp;기준일자_종료일))</f>
        <v>0</v>
      </c>
      <c r="H18" s="229" t="str">
        <f ca="1">IF(LEN(E18)&gt;0,SUM(OFFSET(G18,,,INDEX(회계코드!$A$49:$O$49,,MATCH(E18,회계코드!$A$26:$O$26,0)),1)),"")</f>
        <v/>
      </c>
      <c r="K18" s="218"/>
    </row>
    <row r="19" spans="1:11" s="213" customFormat="1" ht="20.100000000000001" customHeight="1">
      <c r="A19" s="231"/>
      <c r="B19" s="234"/>
      <c r="C19" s="232"/>
      <c r="D19" s="233"/>
      <c r="E19" s="226" t="str">
        <f t="shared" si="0"/>
        <v>요람/현수막제작비</v>
      </c>
      <c r="F19" s="227" t="str">
        <f t="shared" si="1"/>
        <v>요람제작비</v>
      </c>
      <c r="G19" s="228">
        <f>IF(ISBLANK(F19),"",SUMIFS(지출,항목,F19,회계장부!A:A,"&gt;="&amp;기준일자_시작일,회계장부!A:A,"&lt;="&amp;기준일자_종료일))</f>
        <v>0</v>
      </c>
      <c r="H19" s="229">
        <f ca="1">IF(LEN(E19)&gt;0,SUM(OFFSET(G19,,,INDEX(회계코드!$A$49:$O$49,,MATCH(E19,회계코드!$A$26:$O$26,0)),1)),"")</f>
        <v>0</v>
      </c>
      <c r="K19" s="218"/>
    </row>
    <row r="20" spans="1:11" s="213" customFormat="1" ht="20.100000000000001" customHeight="1">
      <c r="A20" s="231"/>
      <c r="B20" s="234"/>
      <c r="C20" s="232"/>
      <c r="D20" s="233"/>
      <c r="E20" s="226" t="str">
        <f t="shared" si="0"/>
        <v/>
      </c>
      <c r="F20" s="227" t="str">
        <f t="shared" si="1"/>
        <v>현수막제작비</v>
      </c>
      <c r="G20" s="228">
        <f>IF(ISBLANK(F20),"",SUMIFS(지출,항목,F20,회계장부!A:A,"&gt;="&amp;기준일자_시작일,회계장부!A:A,"&lt;="&amp;기준일자_종료일))</f>
        <v>0</v>
      </c>
      <c r="H20" s="229" t="str">
        <f ca="1">IF(LEN(E20)&gt;0,SUM(OFFSET(G20,,,INDEX(회계코드!$A$49:$O$49,,MATCH(E20,회계코드!$A$26:$O$26,0)),1)),"")</f>
        <v/>
      </c>
      <c r="K20" s="218"/>
    </row>
    <row r="21" spans="1:11" s="213" customFormat="1" ht="20.100000000000001" customHeight="1">
      <c r="A21" s="231"/>
      <c r="B21" s="234"/>
      <c r="C21" s="232"/>
      <c r="D21" s="233"/>
      <c r="E21" s="226" t="str">
        <f t="shared" si="0"/>
        <v>기타지출</v>
      </c>
      <c r="F21" s="227" t="str">
        <f t="shared" si="1"/>
        <v>잡화구입비</v>
      </c>
      <c r="G21" s="228">
        <f>IF(ISBLANK(F21),"",SUMIFS(지출,항목,F21,회계장부!A:A,"&gt;="&amp;기준일자_시작일,회계장부!A:A,"&lt;="&amp;기준일자_종료일))</f>
        <v>0</v>
      </c>
      <c r="H21" s="229">
        <f ca="1">IF(LEN(E21)&gt;0,SUM(OFFSET(G21,,,INDEX(회계코드!$A$49:$O$49,,MATCH(E21,회계코드!$A$26:$O$26,0)),1)),"")</f>
        <v>0</v>
      </c>
      <c r="K21" s="218"/>
    </row>
    <row r="22" spans="1:11" s="213" customFormat="1" ht="20.100000000000001" customHeight="1">
      <c r="A22" s="231"/>
      <c r="B22" s="234"/>
      <c r="C22" s="232"/>
      <c r="D22" s="233"/>
      <c r="E22" s="226" t="str">
        <f t="shared" si="0"/>
        <v/>
      </c>
      <c r="F22" s="227" t="str">
        <f t="shared" si="1"/>
        <v>비품구입비</v>
      </c>
      <c r="G22" s="228">
        <f>IF(ISBLANK(F22),"",SUMIFS(지출,항목,F22,회계장부!A:A,"&gt;="&amp;기준일자_시작일,회계장부!A:A,"&lt;="&amp;기준일자_종료일))</f>
        <v>0</v>
      </c>
      <c r="H22" s="229" t="str">
        <f ca="1">IF(LEN(E22)&gt;0,SUM(OFFSET(G22,,,INDEX(회계코드!$A$49:$O$49,,MATCH(E22,회계코드!$A$26:$O$26,0)),1)),"")</f>
        <v/>
      </c>
      <c r="K22" s="218"/>
    </row>
    <row r="23" spans="1:11" s="213" customFormat="1" ht="20.100000000000001" customHeight="1">
      <c r="A23" s="231"/>
      <c r="B23" s="234"/>
      <c r="C23" s="232"/>
      <c r="D23" s="233"/>
      <c r="E23" s="226" t="str">
        <f t="shared" si="0"/>
        <v/>
      </c>
      <c r="F23" s="227" t="str">
        <f t="shared" si="1"/>
        <v>기타</v>
      </c>
      <c r="G23" s="228">
        <f>IF(ISBLANK(F23),"",SUMIFS(지출,항목,F23,회계장부!A:A,"&gt;="&amp;기준일자_시작일,회계장부!A:A,"&lt;="&amp;기준일자_종료일))</f>
        <v>0</v>
      </c>
      <c r="H23" s="229" t="str">
        <f ca="1">IF(LEN(E23)&gt;0,SUM(OFFSET(G23,,,INDEX(회계코드!$A$49:$O$49,,MATCH(E23,회계코드!$A$26:$O$26,0)),1)),"")</f>
        <v/>
      </c>
      <c r="K23" s="218"/>
    </row>
    <row r="24" spans="1:11" s="213" customFormat="1" ht="20.100000000000001" customHeight="1">
      <c r="A24" s="231"/>
      <c r="B24" s="234"/>
      <c r="C24" s="232"/>
      <c r="D24" s="233"/>
      <c r="E24" s="226" t="str">
        <f t="shared" si="0"/>
        <v/>
      </c>
      <c r="F24" s="227" t="str">
        <f t="shared" si="1"/>
        <v/>
      </c>
      <c r="G24" s="228">
        <f>IF(ISBLANK(F24),"",SUMIFS(지출,항목,F24,회계장부!A:A,"&gt;="&amp;기준일자_시작일,회계장부!A:A,"&lt;="&amp;기준일자_종료일))</f>
        <v>0</v>
      </c>
      <c r="H24" s="229" t="str">
        <f ca="1">IF(LEN(E24)&gt;0,SUM(OFFSET(G24,,,INDEX(회계코드!$A$49:$O$49,,MATCH(E24,회계코드!$A$26:$O$26,0)),1)),"")</f>
        <v/>
      </c>
      <c r="K24" s="218"/>
    </row>
    <row r="25" spans="1:11" s="213" customFormat="1" ht="20.100000000000001" customHeight="1">
      <c r="A25" s="231"/>
      <c r="B25" s="234"/>
      <c r="C25" s="232"/>
      <c r="D25" s="233"/>
      <c r="E25" s="226" t="str">
        <f t="shared" si="0"/>
        <v/>
      </c>
      <c r="F25" s="227" t="str">
        <f t="shared" si="1"/>
        <v/>
      </c>
      <c r="G25" s="228">
        <f>IF(ISBLANK(F25),"",SUMIFS(지출,항목,F25,회계장부!A:A,"&gt;="&amp;기준일자_시작일,회계장부!A:A,"&lt;="&amp;기준일자_종료일))</f>
        <v>0</v>
      </c>
      <c r="H25" s="229" t="str">
        <f ca="1">IF(LEN(E25)&gt;0,SUM(OFFSET(G25,,,INDEX(회계코드!$A$49:$O$49,,MATCH(E25,회계코드!$A$26:$O$26,0)),1)),"")</f>
        <v/>
      </c>
      <c r="K25" s="218"/>
    </row>
    <row r="26" spans="1:11" s="213" customFormat="1" ht="20.100000000000001" customHeight="1">
      <c r="A26" s="231"/>
      <c r="B26" s="234"/>
      <c r="C26" s="232"/>
      <c r="D26" s="233"/>
      <c r="E26" s="226" t="str">
        <f t="shared" si="0"/>
        <v/>
      </c>
      <c r="F26" s="227" t="str">
        <f t="shared" si="1"/>
        <v/>
      </c>
      <c r="G26" s="228">
        <f>IF(ISBLANK(F26),"",SUMIFS(지출,항목,F26,회계장부!A:A,"&gt;="&amp;기준일자_시작일,회계장부!A:A,"&lt;="&amp;기준일자_종료일))</f>
        <v>0</v>
      </c>
      <c r="H26" s="229" t="str">
        <f ca="1">IF(LEN(E26)&gt;0,SUM(OFFSET(G26,,,INDEX(회계코드!$A$49:$O$49,,MATCH(E26,회계코드!$A$26:$O$26,0)),1)),"")</f>
        <v/>
      </c>
      <c r="K26" s="218"/>
    </row>
    <row r="27" spans="1:11" s="213" customFormat="1" ht="20.100000000000001" customHeight="1">
      <c r="A27" s="231"/>
      <c r="B27" s="234"/>
      <c r="C27" s="232"/>
      <c r="D27" s="233"/>
      <c r="E27" s="226" t="str">
        <f t="shared" si="0"/>
        <v/>
      </c>
      <c r="F27" s="227" t="str">
        <f t="shared" si="1"/>
        <v/>
      </c>
      <c r="G27" s="228">
        <f>IF(ISBLANK(F27),"",SUMIFS(지출,항목,F27,회계장부!A:A,"&gt;="&amp;기준일자_시작일,회계장부!A:A,"&lt;="&amp;기준일자_종료일))</f>
        <v>0</v>
      </c>
      <c r="H27" s="229" t="str">
        <f ca="1">IF(LEN(E27)&gt;0,SUM(OFFSET(G27,,,INDEX(회계코드!$A$49:$O$49,,MATCH(E27,회계코드!$A$26:$O$26,0)),1)),"")</f>
        <v/>
      </c>
      <c r="K27" s="218"/>
    </row>
    <row r="28" spans="1:11" s="213" customFormat="1" ht="20.100000000000001" customHeight="1">
      <c r="A28" s="231"/>
      <c r="B28" s="234"/>
      <c r="C28" s="232"/>
      <c r="D28" s="233"/>
      <c r="E28" s="226" t="str">
        <f t="shared" si="0"/>
        <v/>
      </c>
      <c r="F28" s="227" t="str">
        <f t="shared" si="1"/>
        <v/>
      </c>
      <c r="G28" s="228">
        <f>IF(ISBLANK(F28),"",SUMIFS(지출,항목,F28,회계장부!A:A,"&gt;="&amp;기준일자_시작일,회계장부!A:A,"&lt;="&amp;기준일자_종료일))</f>
        <v>0</v>
      </c>
      <c r="H28" s="229" t="str">
        <f ca="1">IF(LEN(E28)&gt;0,SUM(OFFSET(G28,,,INDEX(회계코드!$A$49:$O$49,,MATCH(E28,회계코드!$A$26:$O$26,0)),1)),"")</f>
        <v/>
      </c>
      <c r="K28" s="218"/>
    </row>
    <row r="29" spans="1:11" s="213" customFormat="1" ht="20.100000000000001" customHeight="1">
      <c r="A29" s="231"/>
      <c r="B29" s="234"/>
      <c r="C29" s="232"/>
      <c r="D29" s="233"/>
      <c r="E29" s="226" t="str">
        <f t="shared" si="0"/>
        <v/>
      </c>
      <c r="F29" s="227" t="str">
        <f t="shared" si="1"/>
        <v/>
      </c>
      <c r="G29" s="228">
        <f>IF(ISBLANK(F29),"",SUMIFS(지출,항목,F29,회계장부!A:A,"&gt;="&amp;기준일자_시작일,회계장부!A:A,"&lt;="&amp;기준일자_종료일))</f>
        <v>0</v>
      </c>
      <c r="H29" s="229" t="str">
        <f ca="1">IF(LEN(E29)&gt;0,SUM(OFFSET(G29,,,INDEX(회계코드!$A$49:$O$49,,MATCH(E29,회계코드!$A$26:$O$26,0)),1)),"")</f>
        <v/>
      </c>
      <c r="K29" s="218"/>
    </row>
    <row r="30" spans="1:11" s="213" customFormat="1" ht="20.100000000000001" customHeight="1">
      <c r="A30" s="231"/>
      <c r="B30" s="234"/>
      <c r="C30" s="232"/>
      <c r="D30" s="233"/>
      <c r="E30" s="226" t="str">
        <f t="shared" si="0"/>
        <v/>
      </c>
      <c r="F30" s="227" t="str">
        <f t="shared" si="1"/>
        <v/>
      </c>
      <c r="G30" s="228">
        <f>IF(ISBLANK(F30),"",SUMIFS(지출,항목,F30,회계장부!A:A,"&gt;="&amp;기준일자_시작일,회계장부!A:A,"&lt;="&amp;기준일자_종료일))</f>
        <v>0</v>
      </c>
      <c r="H30" s="229" t="str">
        <f ca="1">IF(LEN(E30)&gt;0,SUM(OFFSET(G30,,,INDEX(회계코드!$A$49:$O$49,,MATCH(E30,회계코드!$A$26:$O$26,0)),1)),"")</f>
        <v/>
      </c>
      <c r="K30" s="218"/>
    </row>
    <row r="31" spans="1:11" s="213" customFormat="1" ht="20.100000000000001" customHeight="1">
      <c r="A31" s="231"/>
      <c r="B31" s="234"/>
      <c r="C31" s="232"/>
      <c r="D31" s="233"/>
      <c r="E31" s="226" t="str">
        <f t="shared" si="0"/>
        <v/>
      </c>
      <c r="F31" s="227" t="str">
        <f t="shared" si="1"/>
        <v/>
      </c>
      <c r="G31" s="228">
        <f>IF(ISBLANK(F31),"",SUMIFS(지출,항목,F31,회계장부!A:A,"&gt;="&amp;기준일자_시작일,회계장부!A:A,"&lt;="&amp;기준일자_종료일))</f>
        <v>0</v>
      </c>
      <c r="H31" s="229" t="str">
        <f ca="1">IF(LEN(E31)&gt;0,SUM(OFFSET(G31,,,INDEX(회계코드!$A$49:$O$49,,MATCH(E31,회계코드!$A$26:$O$26,0)),1)),"")</f>
        <v/>
      </c>
      <c r="K31" s="218"/>
    </row>
    <row r="32" spans="1:11" s="213" customFormat="1" ht="20.100000000000001" customHeight="1">
      <c r="A32" s="231"/>
      <c r="B32" s="234"/>
      <c r="C32" s="232"/>
      <c r="D32" s="233"/>
      <c r="E32" s="226" t="str">
        <f t="shared" si="0"/>
        <v/>
      </c>
      <c r="F32" s="227" t="str">
        <f t="shared" si="1"/>
        <v/>
      </c>
      <c r="G32" s="228">
        <f>IF(ISBLANK(F32),"",SUMIFS(지출,항목,F32,회계장부!A:A,"&gt;="&amp;기준일자_시작일,회계장부!A:A,"&lt;="&amp;기준일자_종료일))</f>
        <v>0</v>
      </c>
      <c r="H32" s="229" t="str">
        <f ca="1">IF(LEN(E32)&gt;0,SUM(OFFSET(G32,,,INDEX(회계코드!$A$49:$O$49,,MATCH(E32,회계코드!$A$26:$O$26,0)),1)),"")</f>
        <v/>
      </c>
      <c r="K32" s="218"/>
    </row>
    <row r="33" spans="1:11" s="213" customFormat="1" ht="20.100000000000001" customHeight="1">
      <c r="A33" s="231"/>
      <c r="B33" s="234"/>
      <c r="C33" s="232"/>
      <c r="D33" s="233"/>
      <c r="E33" s="226" t="str">
        <f t="shared" si="0"/>
        <v/>
      </c>
      <c r="F33" s="227" t="str">
        <f t="shared" si="1"/>
        <v/>
      </c>
      <c r="G33" s="228">
        <f>IF(ISBLANK(F33),"",SUMIFS(지출,항목,F33,회계장부!A:A,"&gt;="&amp;기준일자_시작일,회계장부!A:A,"&lt;="&amp;기준일자_종료일))</f>
        <v>0</v>
      </c>
      <c r="H33" s="229" t="str">
        <f ca="1">IF(LEN(E33)&gt;0,SUM(OFFSET(G33,,,INDEX(회계코드!$A$49:$O$49,,MATCH(E33,회계코드!$A$26:$O$26,0)),1)),"")</f>
        <v/>
      </c>
      <c r="K33" s="218"/>
    </row>
    <row r="34" spans="1:11" s="213" customFormat="1" ht="20.100000000000001" customHeight="1">
      <c r="A34" s="231"/>
      <c r="B34" s="234"/>
      <c r="C34" s="232"/>
      <c r="D34" s="233"/>
      <c r="E34" s="226" t="str">
        <f t="shared" si="0"/>
        <v/>
      </c>
      <c r="F34" s="227" t="str">
        <f t="shared" si="1"/>
        <v/>
      </c>
      <c r="G34" s="228">
        <f>IF(ISBLANK(F34),"",SUMIFS(지출,항목,F34,회계장부!A:A,"&gt;="&amp;기준일자_시작일,회계장부!A:A,"&lt;="&amp;기준일자_종료일))</f>
        <v>0</v>
      </c>
      <c r="H34" s="229" t="str">
        <f ca="1">IF(LEN(E34)&gt;0,SUM(OFFSET(G34,,,INDEX(회계코드!$A$49:$O$49,,MATCH(E34,회계코드!$A$26:$O$26,0)),1)),"")</f>
        <v/>
      </c>
      <c r="K34" s="218"/>
    </row>
    <row r="35" spans="1:11" s="213" customFormat="1" ht="20.100000000000001" customHeight="1">
      <c r="A35" s="231"/>
      <c r="B35" s="234"/>
      <c r="C35" s="232"/>
      <c r="D35" s="233"/>
      <c r="E35" s="226" t="str">
        <f t="shared" si="0"/>
        <v/>
      </c>
      <c r="F35" s="227" t="str">
        <f t="shared" si="1"/>
        <v/>
      </c>
      <c r="G35" s="228">
        <f>IF(ISBLANK(F35),"",SUMIFS(지출,항목,F35,회계장부!A:A,"&gt;="&amp;기준일자_시작일,회계장부!A:A,"&lt;="&amp;기준일자_종료일))</f>
        <v>0</v>
      </c>
      <c r="H35" s="229" t="str">
        <f ca="1">IF(LEN(E35)&gt;0,SUM(OFFSET(G35,,,INDEX(회계코드!$A$49:$O$49,,MATCH(E35,회계코드!$A$26:$O$26,0)),1)),"")</f>
        <v/>
      </c>
      <c r="K35" s="218"/>
    </row>
    <row r="36" spans="1:11" s="213" customFormat="1" ht="20.100000000000001" customHeight="1">
      <c r="A36" s="231"/>
      <c r="B36" s="234"/>
      <c r="C36" s="232"/>
      <c r="D36" s="233"/>
      <c r="E36" s="226" t="str">
        <f t="shared" si="0"/>
        <v/>
      </c>
      <c r="F36" s="227" t="str">
        <f t="shared" si="1"/>
        <v/>
      </c>
      <c r="G36" s="228">
        <f>IF(ISBLANK(F36),"",SUMIFS(지출,항목,F36,회계장부!A:A,"&gt;="&amp;기준일자_시작일,회계장부!A:A,"&lt;="&amp;기준일자_종료일))</f>
        <v>0</v>
      </c>
      <c r="H36" s="229" t="str">
        <f ca="1">IF(LEN(E36)&gt;0,SUM(OFFSET(G36,,,INDEX(회계코드!$A$49:$O$49,,MATCH(E36,회계코드!$A$26:$O$26,0)),1)),"")</f>
        <v/>
      </c>
      <c r="K36" s="218"/>
    </row>
    <row r="37" spans="1:11" s="213" customFormat="1" ht="20.100000000000001" customHeight="1">
      <c r="A37" s="231"/>
      <c r="B37" s="234"/>
      <c r="C37" s="232"/>
      <c r="D37" s="233"/>
      <c r="E37" s="226" t="str">
        <f t="shared" si="0"/>
        <v/>
      </c>
      <c r="F37" s="227" t="str">
        <f t="shared" si="1"/>
        <v/>
      </c>
      <c r="G37" s="228">
        <f>IF(ISBLANK(F37),"",SUMIFS(지출,항목,F37,회계장부!A:A,"&gt;="&amp;기준일자_시작일,회계장부!A:A,"&lt;="&amp;기준일자_종료일))</f>
        <v>0</v>
      </c>
      <c r="H37" s="229" t="str">
        <f ca="1">IF(LEN(E37)&gt;0,SUM(OFFSET(G37,,,INDEX(회계코드!$A$49:$O$49,,MATCH(E37,회계코드!$A$26:$O$26,0)),1)),"")</f>
        <v/>
      </c>
      <c r="K37" s="218"/>
    </row>
    <row r="38" spans="1:11" s="213" customFormat="1" ht="20.100000000000001" customHeight="1">
      <c r="A38" s="231"/>
      <c r="B38" s="234"/>
      <c r="C38" s="232"/>
      <c r="D38" s="233"/>
      <c r="E38" s="226" t="str">
        <f t="shared" si="0"/>
        <v/>
      </c>
      <c r="F38" s="227" t="str">
        <f t="shared" si="1"/>
        <v/>
      </c>
      <c r="G38" s="228">
        <f>IF(ISBLANK(F38),"",SUMIFS(지출,항목,F38,회계장부!A:A,"&gt;="&amp;기준일자_시작일,회계장부!A:A,"&lt;="&amp;기준일자_종료일))</f>
        <v>0</v>
      </c>
      <c r="H38" s="229" t="str">
        <f ca="1">IF(LEN(E38)&gt;0,SUM(OFFSET(G38,,,INDEX(회계코드!$A$49:$O$49,,MATCH(E38,회계코드!$A$26:$O$26,0)),1)),"")</f>
        <v/>
      </c>
      <c r="K38" s="218"/>
    </row>
    <row r="39" spans="1:11" s="213" customFormat="1" ht="20.100000000000001" customHeight="1">
      <c r="A39" s="231"/>
      <c r="B39" s="234"/>
      <c r="C39" s="232"/>
      <c r="D39" s="233"/>
      <c r="E39" s="226" t="str">
        <f t="shared" si="0"/>
        <v/>
      </c>
      <c r="F39" s="227" t="str">
        <f t="shared" si="1"/>
        <v/>
      </c>
      <c r="G39" s="228">
        <f>IF(ISBLANK(F39),"",SUMIFS(지출,항목,F39,회계장부!A:A,"&gt;="&amp;기준일자_시작일,회계장부!A:A,"&lt;="&amp;기준일자_종료일))</f>
        <v>0</v>
      </c>
      <c r="H39" s="229" t="str">
        <f ca="1">IF(LEN(E39)&gt;0,SUM(OFFSET(G39,,,INDEX(회계코드!$A$49:$O$49,,MATCH(E39,회계코드!$A$26:$O$26,0)),1)),"")</f>
        <v/>
      </c>
      <c r="K39" s="218"/>
    </row>
    <row r="40" spans="1:11" s="213" customFormat="1" ht="20.100000000000001" customHeight="1">
      <c r="A40" s="231"/>
      <c r="B40" s="234"/>
      <c r="C40" s="232"/>
      <c r="D40" s="233"/>
      <c r="E40" s="226" t="str">
        <f t="shared" si="0"/>
        <v/>
      </c>
      <c r="F40" s="227" t="str">
        <f t="shared" si="1"/>
        <v/>
      </c>
      <c r="G40" s="228">
        <f>IF(ISBLANK(F40),"",SUMIFS(지출,항목,F40,회계장부!A:A,"&gt;="&amp;기준일자_시작일,회계장부!A:A,"&lt;="&amp;기준일자_종료일))</f>
        <v>0</v>
      </c>
      <c r="H40" s="229" t="str">
        <f ca="1">IF(LEN(E40)&gt;0,SUM(OFFSET(G40,,,INDEX(회계코드!$A$49:$O$49,,MATCH(E40,회계코드!$A$26:$O$26,0)),1)),"")</f>
        <v/>
      </c>
      <c r="K40" s="218"/>
    </row>
    <row r="41" spans="1:11" s="213" customFormat="1" ht="20.100000000000001" customHeight="1">
      <c r="A41" s="231"/>
      <c r="B41" s="234"/>
      <c r="C41" s="232"/>
      <c r="D41" s="233"/>
      <c r="E41" s="226" t="str">
        <f t="shared" si="0"/>
        <v/>
      </c>
      <c r="F41" s="227" t="str">
        <f t="shared" si="1"/>
        <v/>
      </c>
      <c r="G41" s="228">
        <f>IF(ISBLANK(F41),"",SUMIFS(지출,항목,F41,회계장부!A:A,"&gt;="&amp;기준일자_시작일,회계장부!A:A,"&lt;="&amp;기준일자_종료일))</f>
        <v>0</v>
      </c>
      <c r="H41" s="229" t="str">
        <f ca="1">IF(LEN(E41)&gt;0,SUM(OFFSET(G41,,,INDEX(회계코드!$A$49:$O$49,,MATCH(E41,회계코드!$A$26:$O$26,0)),1)),"")</f>
        <v/>
      </c>
      <c r="K41" s="218"/>
    </row>
    <row r="42" spans="1:11" s="213" customFormat="1" ht="20.100000000000001" customHeight="1" thickBot="1">
      <c r="A42" s="231"/>
      <c r="B42" s="234"/>
      <c r="C42" s="232"/>
      <c r="D42" s="233"/>
      <c r="E42" s="235" t="str">
        <f t="shared" si="0"/>
        <v/>
      </c>
      <c r="F42" s="227" t="str">
        <f t="shared" si="1"/>
        <v/>
      </c>
      <c r="G42" s="228">
        <f>IF(ISBLANK(F42),"",SUMIFS(지출,항목,F42,회계장부!A:A,"&gt;="&amp;기준일자_시작일,회계장부!A:A,"&lt;="&amp;기준일자_종료일))</f>
        <v>0</v>
      </c>
      <c r="H42" s="236" t="str">
        <f ca="1">IF(LEN(E42)&gt;0,SUM(OFFSET(G42,,,INDEX(회계코드!$A$49:$O$49,,MATCH(E42,회계코드!$A$26:$O$26,0)),1)),"")</f>
        <v/>
      </c>
      <c r="K42" s="218"/>
    </row>
    <row r="43" spans="1:11" s="213" customFormat="1" ht="20.100000000000001" customHeight="1" thickTop="1" thickBot="1">
      <c r="A43" s="393" t="s">
        <v>99</v>
      </c>
      <c r="B43" s="393"/>
      <c r="C43" s="394"/>
      <c r="D43" s="237">
        <f>SUM(D6:D42)</f>
        <v>200</v>
      </c>
      <c r="E43" s="385" t="s">
        <v>100</v>
      </c>
      <c r="F43" s="386"/>
      <c r="G43" s="387"/>
      <c r="H43" s="238">
        <f ca="1">SUM(H6:H42)</f>
        <v>0</v>
      </c>
      <c r="K43" s="218"/>
    </row>
    <row r="44" spans="1:11" s="213" customFormat="1" ht="20.100000000000001" customHeight="1" thickTop="1" thickBot="1">
      <c r="A44" s="393" t="s">
        <v>101</v>
      </c>
      <c r="B44" s="393"/>
      <c r="C44" s="394"/>
      <c r="D44" s="237">
        <f>SUMIFS(수입,회계월,"&lt;"&amp;MONTH(기준일자_시작일))-SUMIFS(수입,회계월,"&lt;"&amp;MONTH(기준일자_시작일),관,"전년도이월금")</f>
        <v>0</v>
      </c>
      <c r="E44" s="385" t="s">
        <v>102</v>
      </c>
      <c r="F44" s="386"/>
      <c r="G44" s="387"/>
      <c r="H44" s="238">
        <f>SUMIFS(지출,회계월,"&lt;"&amp;MONTH(기준일자_시작일))</f>
        <v>0</v>
      </c>
      <c r="K44" s="218"/>
    </row>
    <row r="45" spans="1:11" s="213" customFormat="1" ht="20.100000000000001" customHeight="1" thickTop="1" thickBot="1">
      <c r="A45" s="388" t="s">
        <v>9</v>
      </c>
      <c r="B45" s="388"/>
      <c r="C45" s="389"/>
      <c r="D45" s="239">
        <f>SUMIFS(수입,관,"전년도이월금")</f>
        <v>100</v>
      </c>
      <c r="E45" s="390" t="s">
        <v>42</v>
      </c>
      <c r="F45" s="391"/>
      <c r="G45" s="392"/>
      <c r="H45" s="240">
        <f ca="1">SUM(D43:D45)-SUM(H43:H44)</f>
        <v>300</v>
      </c>
      <c r="K45" s="218"/>
    </row>
  </sheetData>
  <sheetProtection algorithmName="SHA-512" hashValue="d94ZZ1KPIzrYKTFm3J486V9MC+4WW0Mp/ed9fWoO3RMfdfGVJ6JsAEmt8b5TujMIfR0U7HXMtHv+DbQxmi/HWQ==" saltValue="3zJRDgP0EQevJmxfx/ZwhQ==" spinCount="100000" sheet="1" objects="1" scenarios="1"/>
  <mergeCells count="19">
    <mergeCell ref="A6:A7"/>
    <mergeCell ref="D6:D7"/>
    <mergeCell ref="A8:A11"/>
    <mergeCell ref="D8:D11"/>
    <mergeCell ref="A44:C44"/>
    <mergeCell ref="A12:A14"/>
    <mergeCell ref="D12:D14"/>
    <mergeCell ref="E44:G44"/>
    <mergeCell ref="A45:C45"/>
    <mergeCell ref="E45:G45"/>
    <mergeCell ref="A43:C43"/>
    <mergeCell ref="E43:G43"/>
    <mergeCell ref="A1:H1"/>
    <mergeCell ref="A2:H2"/>
    <mergeCell ref="A4:D4"/>
    <mergeCell ref="E4:H4"/>
    <mergeCell ref="C5:D5"/>
    <mergeCell ref="G5:H5"/>
    <mergeCell ref="A3:H3"/>
  </mergeCells>
  <phoneticPr fontId="2" type="noConversion"/>
  <conditionalFormatting sqref="A1:H1">
    <cfRule type="cellIs" dxfId="13" priority="18" operator="notEqual">
      <formula>"회계 보고서"</formula>
    </cfRule>
  </conditionalFormatting>
  <conditionalFormatting sqref="A3:H3">
    <cfRule type="expression" dxfId="12" priority="14">
      <formula>LEN(부서명)=0</formula>
    </cfRule>
  </conditionalFormatting>
  <conditionalFormatting sqref="E6:H42">
    <cfRule type="expression" dxfId="11" priority="3">
      <formula>AND(LEN($E6)=0,LEN($F6)=0)</formula>
    </cfRule>
  </conditionalFormatting>
  <conditionalFormatting sqref="H6:H41">
    <cfRule type="expression" dxfId="10" priority="2">
      <formula>LEN($E7)&gt;0</formula>
    </cfRule>
  </conditionalFormatting>
  <conditionalFormatting sqref="E6:E41">
    <cfRule type="expression" dxfId="9" priority="1">
      <formula>LEN($E7)&gt;0</formula>
    </cfRule>
  </conditionalFormatting>
  <printOptions horizontalCentered="1"/>
  <pageMargins left="0.11811023622047245" right="0.11811023622047245" top="0.74803149606299213" bottom="0.74803149606299213" header="0" footer="0"/>
  <pageSetup paperSize="9" scale="7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5D6B-B121-49F9-A4D1-D645873E5264}">
  <sheetPr>
    <pageSetUpPr fitToPage="1"/>
  </sheetPr>
  <dimension ref="A1:N57"/>
  <sheetViews>
    <sheetView zoomScaleNormal="100" zoomScaleSheetLayoutView="85" workbookViewId="0">
      <selection activeCell="H42" sqref="H42"/>
    </sheetView>
  </sheetViews>
  <sheetFormatPr defaultColWidth="9" defaultRowHeight="13.5"/>
  <cols>
    <col min="1" max="1" width="8.875" style="33" customWidth="1"/>
    <col min="2" max="8" width="14.875" style="33" customWidth="1"/>
    <col min="9" max="9" width="3.625" style="33" customWidth="1"/>
    <col min="10" max="10" width="9.625" style="33" customWidth="1"/>
    <col min="11" max="11" width="10.625" style="33" customWidth="1"/>
    <col min="12" max="13" width="14.875" style="33" customWidth="1"/>
    <col min="14" max="16384" width="9" style="33"/>
  </cols>
  <sheetData>
    <row r="1" spans="1:13" s="13" customFormat="1" ht="33.75">
      <c r="A1" s="415" t="str">
        <f>"교회 지원기관 검산서 (" &amp; 회계년도 &amp; "년 상반기)"</f>
        <v>교회 지원기관 검산서 (2021년 상반기)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</row>
    <row r="2" spans="1:13" s="13" customFormat="1" ht="6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16" customFormat="1" ht="24" customHeight="1" thickBot="1">
      <c r="A3" s="15" t="s">
        <v>81</v>
      </c>
      <c r="B3" s="416" t="str">
        <f>IF(LEN(부서명)&gt;0,부서명,"회계코드 Sheet에서 부서명을 입력하세요.")</f>
        <v>회계코드 Sheet에서 부서명을 입력하세요.</v>
      </c>
      <c r="C3" s="416"/>
      <c r="D3" s="417" t="str">
        <f>IF(COUNTIFS(회계코드!$A$48:$O$48,"관입력누락")&gt;0,"(오류) 회계코드의 관 항목은 누락없이 순서대로 입력하세요","")</f>
        <v/>
      </c>
      <c r="E3" s="417"/>
      <c r="F3" s="417"/>
      <c r="G3" s="417"/>
      <c r="H3" s="417"/>
      <c r="I3" s="417"/>
      <c r="J3" s="417"/>
      <c r="K3" s="417"/>
      <c r="L3" s="417"/>
      <c r="M3" s="17" t="s">
        <v>82</v>
      </c>
    </row>
    <row r="4" spans="1:13" s="16" customFormat="1" ht="21" customHeight="1">
      <c r="A4" s="418" t="s">
        <v>46</v>
      </c>
      <c r="B4" s="421" t="s">
        <v>47</v>
      </c>
      <c r="C4" s="422"/>
      <c r="D4" s="422"/>
      <c r="E4" s="422"/>
      <c r="F4" s="422"/>
      <c r="G4" s="422"/>
      <c r="H4" s="423"/>
      <c r="I4" s="424" t="s">
        <v>48</v>
      </c>
      <c r="J4" s="425"/>
      <c r="K4" s="425"/>
      <c r="L4" s="426"/>
      <c r="M4" s="427" t="s">
        <v>49</v>
      </c>
    </row>
    <row r="5" spans="1:13" s="16" customFormat="1" ht="21" customHeight="1">
      <c r="A5" s="419"/>
      <c r="B5" s="430" t="s">
        <v>50</v>
      </c>
      <c r="C5" s="432" t="s">
        <v>51</v>
      </c>
      <c r="D5" s="405"/>
      <c r="E5" s="405"/>
      <c r="F5" s="405"/>
      <c r="G5" s="405"/>
      <c r="H5" s="433" t="s">
        <v>52</v>
      </c>
      <c r="I5" s="404" t="s">
        <v>53</v>
      </c>
      <c r="J5" s="405"/>
      <c r="K5" s="406"/>
      <c r="L5" s="410" t="s">
        <v>54</v>
      </c>
      <c r="M5" s="428"/>
    </row>
    <row r="6" spans="1:13" s="16" customFormat="1" ht="21" customHeight="1">
      <c r="A6" s="420"/>
      <c r="B6" s="431"/>
      <c r="C6" s="206" t="s">
        <v>55</v>
      </c>
      <c r="D6" s="206" t="s">
        <v>56</v>
      </c>
      <c r="E6" s="206" t="s">
        <v>57</v>
      </c>
      <c r="F6" s="206" t="s">
        <v>58</v>
      </c>
      <c r="G6" s="19" t="s">
        <v>24</v>
      </c>
      <c r="H6" s="434"/>
      <c r="I6" s="407"/>
      <c r="J6" s="408"/>
      <c r="K6" s="409"/>
      <c r="L6" s="411"/>
      <c r="M6" s="429"/>
    </row>
    <row r="7" spans="1:13" s="16" customFormat="1" ht="33" customHeight="1">
      <c r="A7" s="203" t="s">
        <v>59</v>
      </c>
      <c r="B7" s="207">
        <f>SUMIFS(수입,회계장부!I:I,"전년도이월금")</f>
        <v>100</v>
      </c>
      <c r="C7" s="412"/>
      <c r="D7" s="413"/>
      <c r="E7" s="413"/>
      <c r="F7" s="413"/>
      <c r="G7" s="413"/>
      <c r="H7" s="20">
        <f>B7</f>
        <v>100</v>
      </c>
      <c r="I7" s="21"/>
      <c r="J7" s="22"/>
      <c r="K7" s="413"/>
      <c r="L7" s="413"/>
      <c r="M7" s="414"/>
    </row>
    <row r="8" spans="1:13" s="23" customFormat="1" ht="12" customHeight="1">
      <c r="A8" s="467" t="s">
        <v>60</v>
      </c>
      <c r="B8" s="208"/>
      <c r="C8" s="439">
        <f>SUMIFS(수입,항목,"교회지원금",회계월,"="&amp;LEFT(A8,LEN(A8)-1))</f>
        <v>0</v>
      </c>
      <c r="D8" s="439">
        <f>SUMIFS(수입,항목,"재배정금",회계월,"="&amp;LEFT(A8,LEN(A8)-1))</f>
        <v>0</v>
      </c>
      <c r="E8" s="439">
        <f>SUMIFS(수입,관,"헌금/회비",회계월,"="&amp;LEFT(A8,LEN(A8)-1))</f>
        <v>200</v>
      </c>
      <c r="F8" s="439">
        <f>SUMIFS(수입,회계월,"="&amp;LEFT(A8,LEN(A8)-1),회계장부!I:I,"&lt;&gt;"&amp;"전년도이월금")-SUM(C8:E12)</f>
        <v>0</v>
      </c>
      <c r="G8" s="439">
        <f>SUM(C8:F12)</f>
        <v>200</v>
      </c>
      <c r="H8" s="446">
        <f>G8</f>
        <v>200</v>
      </c>
      <c r="I8" s="449">
        <v>1</v>
      </c>
      <c r="J8" s="442" t="str">
        <f>IF(ISBLANK(회계코드!A26),"",회계코드!A26)</f>
        <v>간식/식대비</v>
      </c>
      <c r="K8" s="443"/>
      <c r="L8" s="446">
        <f>SUMIFS(지출,관,J8,회계월,"&lt;=6")</f>
        <v>0</v>
      </c>
      <c r="M8" s="448"/>
    </row>
    <row r="9" spans="1:13" s="23" customFormat="1" ht="12" customHeight="1">
      <c r="A9" s="468"/>
      <c r="B9" s="201"/>
      <c r="C9" s="440"/>
      <c r="D9" s="440"/>
      <c r="E9" s="440"/>
      <c r="F9" s="440"/>
      <c r="G9" s="440"/>
      <c r="H9" s="470"/>
      <c r="I9" s="450"/>
      <c r="J9" s="444"/>
      <c r="K9" s="445"/>
      <c r="L9" s="447"/>
      <c r="M9" s="429"/>
    </row>
    <row r="10" spans="1:13" s="23" customFormat="1" ht="12" customHeight="1">
      <c r="A10" s="468"/>
      <c r="B10" s="201"/>
      <c r="C10" s="440"/>
      <c r="D10" s="440"/>
      <c r="E10" s="440"/>
      <c r="F10" s="440"/>
      <c r="G10" s="440"/>
      <c r="H10" s="470"/>
      <c r="I10" s="449">
        <v>2</v>
      </c>
      <c r="J10" s="442" t="str">
        <f>IF(ISBLANK(회계코드!B26),"",회계코드!B26)</f>
        <v>여름수련회</v>
      </c>
      <c r="K10" s="443"/>
      <c r="L10" s="446">
        <f t="shared" ref="L10:L37" si="0">SUMIFS(지출,관,J10,회계월,"&lt;=6")</f>
        <v>0</v>
      </c>
      <c r="M10" s="448"/>
    </row>
    <row r="11" spans="1:13" s="23" customFormat="1" ht="12" customHeight="1">
      <c r="A11" s="468"/>
      <c r="B11" s="201"/>
      <c r="C11" s="440"/>
      <c r="D11" s="440"/>
      <c r="E11" s="440"/>
      <c r="F11" s="440"/>
      <c r="G11" s="440"/>
      <c r="H11" s="470"/>
      <c r="I11" s="450"/>
      <c r="J11" s="444"/>
      <c r="K11" s="445"/>
      <c r="L11" s="447"/>
      <c r="M11" s="429"/>
    </row>
    <row r="12" spans="1:13" s="23" customFormat="1" ht="12" customHeight="1">
      <c r="A12" s="469"/>
      <c r="B12" s="201"/>
      <c r="C12" s="441"/>
      <c r="D12" s="441"/>
      <c r="E12" s="441"/>
      <c r="F12" s="441"/>
      <c r="G12" s="441"/>
      <c r="H12" s="447"/>
      <c r="I12" s="449">
        <v>3</v>
      </c>
      <c r="J12" s="442" t="str">
        <f>IF(ISBLANK(회계코드!C26),"",회계코드!C26)</f>
        <v>찬양축제/신년기도회</v>
      </c>
      <c r="K12" s="443"/>
      <c r="L12" s="446">
        <f t="shared" si="0"/>
        <v>0</v>
      </c>
      <c r="M12" s="448"/>
    </row>
    <row r="13" spans="1:13" s="23" customFormat="1" ht="12" customHeight="1">
      <c r="A13" s="467" t="s">
        <v>134</v>
      </c>
      <c r="B13" s="201"/>
      <c r="C13" s="439">
        <f>SUMIFS(수입,항목,"교회지원금",회계월,"="&amp;LEFT(A13,LEN(A13)-1))</f>
        <v>0</v>
      </c>
      <c r="D13" s="439">
        <f>SUMIFS(수입,항목,"재배정금",회계월,"="&amp;LEFT(A13,LEN(A13)-1))</f>
        <v>0</v>
      </c>
      <c r="E13" s="439">
        <f>SUMIFS(수입,관,"헌금/회비",회계월,"="&amp;LEFT(A13,LEN(A13)-1))</f>
        <v>0</v>
      </c>
      <c r="F13" s="439">
        <f>SUMIFS(수입,회계월,"="&amp;LEFT(A13,LEN(A13)-1),회계장부!I:I,"&lt;&gt;"&amp;"전년도이월금")-SUM(C13:E17)</f>
        <v>0</v>
      </c>
      <c r="G13" s="439">
        <f t="shared" ref="G13" si="1">SUM(C13:F17)</f>
        <v>0</v>
      </c>
      <c r="H13" s="446">
        <f t="shared" ref="H13" si="2">G13</f>
        <v>0</v>
      </c>
      <c r="I13" s="450"/>
      <c r="J13" s="444"/>
      <c r="K13" s="445"/>
      <c r="L13" s="447"/>
      <c r="M13" s="429"/>
    </row>
    <row r="14" spans="1:13" s="23" customFormat="1" ht="12" customHeight="1">
      <c r="A14" s="468"/>
      <c r="B14" s="201"/>
      <c r="C14" s="440"/>
      <c r="D14" s="440"/>
      <c r="E14" s="440"/>
      <c r="F14" s="440"/>
      <c r="G14" s="440"/>
      <c r="H14" s="470"/>
      <c r="I14" s="449">
        <v>4</v>
      </c>
      <c r="J14" s="442" t="str">
        <f>IF(ISBLANK(회계코드!D26),"",회계코드!D26)</f>
        <v>새가족환영회</v>
      </c>
      <c r="K14" s="443"/>
      <c r="L14" s="446">
        <f t="shared" si="0"/>
        <v>0</v>
      </c>
      <c r="M14" s="448"/>
    </row>
    <row r="15" spans="1:13" s="23" customFormat="1" ht="12" customHeight="1">
      <c r="A15" s="468"/>
      <c r="B15" s="201"/>
      <c r="C15" s="440"/>
      <c r="D15" s="440"/>
      <c r="E15" s="440"/>
      <c r="F15" s="440"/>
      <c r="G15" s="440"/>
      <c r="H15" s="470"/>
      <c r="I15" s="450"/>
      <c r="J15" s="444"/>
      <c r="K15" s="445"/>
      <c r="L15" s="447"/>
      <c r="M15" s="429"/>
    </row>
    <row r="16" spans="1:13" s="23" customFormat="1" ht="12" customHeight="1">
      <c r="A16" s="468"/>
      <c r="B16" s="201"/>
      <c r="C16" s="440"/>
      <c r="D16" s="440"/>
      <c r="E16" s="440"/>
      <c r="F16" s="440"/>
      <c r="G16" s="440"/>
      <c r="H16" s="470"/>
      <c r="I16" s="449">
        <v>5</v>
      </c>
      <c r="J16" s="442" t="str">
        <f>IF(ISBLANK(회계코드!E26),"",회계코드!E26)</f>
        <v>시상/선물</v>
      </c>
      <c r="K16" s="443"/>
      <c r="L16" s="446">
        <f t="shared" si="0"/>
        <v>0</v>
      </c>
      <c r="M16" s="448"/>
    </row>
    <row r="17" spans="1:13" s="23" customFormat="1" ht="12" customHeight="1">
      <c r="A17" s="469"/>
      <c r="B17" s="201"/>
      <c r="C17" s="441"/>
      <c r="D17" s="441"/>
      <c r="E17" s="441"/>
      <c r="F17" s="441"/>
      <c r="G17" s="441"/>
      <c r="H17" s="447"/>
      <c r="I17" s="450"/>
      <c r="J17" s="444"/>
      <c r="K17" s="445"/>
      <c r="L17" s="447"/>
      <c r="M17" s="429"/>
    </row>
    <row r="18" spans="1:13" s="23" customFormat="1" ht="12" customHeight="1">
      <c r="A18" s="467" t="s">
        <v>135</v>
      </c>
      <c r="B18" s="201"/>
      <c r="C18" s="439">
        <f>SUMIFS(수입,항목,"교회지원금",회계월,"="&amp;LEFT(A18,LEN(A18)-1))</f>
        <v>0</v>
      </c>
      <c r="D18" s="439">
        <f>SUMIFS(수입,항목,"재배정금",회계월,"="&amp;LEFT(A18,LEN(A18)-1))</f>
        <v>0</v>
      </c>
      <c r="E18" s="439">
        <f>SUMIFS(수입,관,"헌금/회비",회계월,"="&amp;LEFT(A18,LEN(A18)-1))</f>
        <v>0</v>
      </c>
      <c r="F18" s="439">
        <f>SUMIFS(수입,회계월,"="&amp;LEFT(A18,LEN(A18)-1),회계장부!I:I,"&lt;&gt;"&amp;"전년도이월금")-SUM(C18:E22)</f>
        <v>0</v>
      </c>
      <c r="G18" s="439">
        <f t="shared" ref="G18" si="3">SUM(C18:F22)</f>
        <v>0</v>
      </c>
      <c r="H18" s="446">
        <f t="shared" ref="H18" si="4">G18</f>
        <v>0</v>
      </c>
      <c r="I18" s="449">
        <v>6</v>
      </c>
      <c r="J18" s="442" t="str">
        <f>IF(ISBLANK(회계코드!F26),"",회계코드!F26)</f>
        <v>심방비</v>
      </c>
      <c r="K18" s="443"/>
      <c r="L18" s="446">
        <f t="shared" si="0"/>
        <v>0</v>
      </c>
      <c r="M18" s="448"/>
    </row>
    <row r="19" spans="1:13" s="23" customFormat="1" ht="12" customHeight="1">
      <c r="A19" s="468"/>
      <c r="B19" s="201"/>
      <c r="C19" s="440"/>
      <c r="D19" s="440"/>
      <c r="E19" s="440"/>
      <c r="F19" s="440"/>
      <c r="G19" s="440"/>
      <c r="H19" s="470"/>
      <c r="I19" s="450"/>
      <c r="J19" s="444"/>
      <c r="K19" s="445"/>
      <c r="L19" s="447"/>
      <c r="M19" s="429"/>
    </row>
    <row r="20" spans="1:13" s="23" customFormat="1" ht="12" customHeight="1">
      <c r="A20" s="468"/>
      <c r="B20" s="201"/>
      <c r="C20" s="440"/>
      <c r="D20" s="440"/>
      <c r="E20" s="440"/>
      <c r="F20" s="440"/>
      <c r="G20" s="440"/>
      <c r="H20" s="470"/>
      <c r="I20" s="449">
        <v>7</v>
      </c>
      <c r="J20" s="442" t="str">
        <f>IF(ISBLANK(회계코드!G26),"",회계코드!G26)</f>
        <v>한마음체육대회</v>
      </c>
      <c r="K20" s="443"/>
      <c r="L20" s="446">
        <f t="shared" si="0"/>
        <v>0</v>
      </c>
      <c r="M20" s="448"/>
    </row>
    <row r="21" spans="1:13" s="23" customFormat="1" ht="12" customHeight="1">
      <c r="A21" s="468"/>
      <c r="B21" s="201"/>
      <c r="C21" s="440"/>
      <c r="D21" s="440"/>
      <c r="E21" s="440"/>
      <c r="F21" s="440"/>
      <c r="G21" s="440"/>
      <c r="H21" s="470"/>
      <c r="I21" s="450"/>
      <c r="J21" s="444"/>
      <c r="K21" s="445"/>
      <c r="L21" s="447"/>
      <c r="M21" s="429"/>
    </row>
    <row r="22" spans="1:13" s="23" customFormat="1" ht="12" customHeight="1">
      <c r="A22" s="469"/>
      <c r="B22" s="201"/>
      <c r="C22" s="441"/>
      <c r="D22" s="441"/>
      <c r="E22" s="441"/>
      <c r="F22" s="441"/>
      <c r="G22" s="441"/>
      <c r="H22" s="447"/>
      <c r="I22" s="449">
        <v>8</v>
      </c>
      <c r="J22" s="442" t="str">
        <f>IF(ISBLANK(회계코드!H26),"",회계코드!H26)</f>
        <v>육아부/경비</v>
      </c>
      <c r="K22" s="443"/>
      <c r="L22" s="446">
        <f t="shared" si="0"/>
        <v>0</v>
      </c>
      <c r="M22" s="448"/>
    </row>
    <row r="23" spans="1:13" s="23" customFormat="1" ht="12" customHeight="1">
      <c r="A23" s="467" t="s">
        <v>136</v>
      </c>
      <c r="B23" s="201"/>
      <c r="C23" s="439">
        <f>SUMIFS(수입,항목,"교회지원금",회계월,"="&amp;LEFT(A23,LEN(A23)-1))</f>
        <v>0</v>
      </c>
      <c r="D23" s="439">
        <f>SUMIFS(수입,항목,"재배정금",회계월,"="&amp;LEFT(A23,LEN(A23)-1))</f>
        <v>0</v>
      </c>
      <c r="E23" s="439">
        <f>SUMIFS(수입,관,"헌금/회비",회계월,"="&amp;LEFT(A23,LEN(A23)-1))</f>
        <v>0</v>
      </c>
      <c r="F23" s="439">
        <f>SUMIFS(수입,회계월,"="&amp;LEFT(A23,LEN(A23)-1),회계장부!I:I,"&lt;&gt;"&amp;"전년도이월금")-SUM(C23:E27)</f>
        <v>0</v>
      </c>
      <c r="G23" s="439">
        <f t="shared" ref="G23" si="5">SUM(C23:F27)</f>
        <v>0</v>
      </c>
      <c r="H23" s="446">
        <f t="shared" ref="H23" si="6">G23</f>
        <v>0</v>
      </c>
      <c r="I23" s="450"/>
      <c r="J23" s="444"/>
      <c r="K23" s="445"/>
      <c r="L23" s="447"/>
      <c r="M23" s="429"/>
    </row>
    <row r="24" spans="1:13" s="23" customFormat="1" ht="12" customHeight="1">
      <c r="A24" s="468"/>
      <c r="B24" s="201"/>
      <c r="C24" s="440"/>
      <c r="D24" s="440"/>
      <c r="E24" s="440"/>
      <c r="F24" s="440"/>
      <c r="G24" s="440"/>
      <c r="H24" s="470"/>
      <c r="I24" s="449">
        <v>9</v>
      </c>
      <c r="J24" s="442" t="str">
        <f>IF(ISBLANK(회계코드!I26),"",회계코드!I26)</f>
        <v>특강/도서구입비</v>
      </c>
      <c r="K24" s="443"/>
      <c r="L24" s="446">
        <f t="shared" si="0"/>
        <v>0</v>
      </c>
      <c r="M24" s="448"/>
    </row>
    <row r="25" spans="1:13" s="23" customFormat="1" ht="12" customHeight="1">
      <c r="A25" s="468"/>
      <c r="B25" s="201"/>
      <c r="C25" s="440"/>
      <c r="D25" s="440"/>
      <c r="E25" s="440"/>
      <c r="F25" s="440"/>
      <c r="G25" s="440"/>
      <c r="H25" s="470"/>
      <c r="I25" s="450"/>
      <c r="J25" s="444"/>
      <c r="K25" s="445"/>
      <c r="L25" s="447"/>
      <c r="M25" s="429"/>
    </row>
    <row r="26" spans="1:13" s="23" customFormat="1" ht="12" customHeight="1">
      <c r="A26" s="468"/>
      <c r="B26" s="201"/>
      <c r="C26" s="440"/>
      <c r="D26" s="440"/>
      <c r="E26" s="440"/>
      <c r="F26" s="440"/>
      <c r="G26" s="440"/>
      <c r="H26" s="470"/>
      <c r="I26" s="449">
        <v>10</v>
      </c>
      <c r="J26" s="442" t="str">
        <f>IF(ISBLANK(회계코드!J26),"",회계코드!J26)</f>
        <v>요람/현수막제작비</v>
      </c>
      <c r="K26" s="443"/>
      <c r="L26" s="446">
        <f t="shared" si="0"/>
        <v>0</v>
      </c>
      <c r="M26" s="448"/>
    </row>
    <row r="27" spans="1:13" s="23" customFormat="1" ht="12" customHeight="1">
      <c r="A27" s="469"/>
      <c r="B27" s="201"/>
      <c r="C27" s="441"/>
      <c r="D27" s="441"/>
      <c r="E27" s="441"/>
      <c r="F27" s="441"/>
      <c r="G27" s="441"/>
      <c r="H27" s="447"/>
      <c r="I27" s="450"/>
      <c r="J27" s="444"/>
      <c r="K27" s="445"/>
      <c r="L27" s="447"/>
      <c r="M27" s="429"/>
    </row>
    <row r="28" spans="1:13" s="23" customFormat="1" ht="12" customHeight="1">
      <c r="A28" s="467" t="s">
        <v>137</v>
      </c>
      <c r="B28" s="201"/>
      <c r="C28" s="439">
        <f>SUMIFS(수입,항목,"교회지원금",회계월,"="&amp;LEFT(A28,LEN(A28)-1))</f>
        <v>0</v>
      </c>
      <c r="D28" s="439">
        <f>SUMIFS(수입,항목,"재배정금",회계월,"="&amp;LEFT(A28,LEN(A28)-1))</f>
        <v>0</v>
      </c>
      <c r="E28" s="439">
        <f>SUMIFS(수입,관,"헌금/회비",회계월,"="&amp;LEFT(A28,LEN(A28)-1))</f>
        <v>0</v>
      </c>
      <c r="F28" s="439">
        <f>SUMIFS(수입,회계월,"="&amp;LEFT(A28,LEN(A28)-1),회계장부!I:I,"&lt;&gt;"&amp;"전년도이월금")-SUM(C28:E32)</f>
        <v>0</v>
      </c>
      <c r="G28" s="439">
        <f t="shared" ref="G28" si="7">SUM(C28:F32)</f>
        <v>0</v>
      </c>
      <c r="H28" s="446">
        <f t="shared" ref="H28" si="8">G28</f>
        <v>0</v>
      </c>
      <c r="I28" s="449">
        <v>11</v>
      </c>
      <c r="J28" s="442" t="str">
        <f>IF(ISBLANK(회계코드!K26),"",회계코드!K26)</f>
        <v>기타지출</v>
      </c>
      <c r="K28" s="443"/>
      <c r="L28" s="446">
        <f t="shared" si="0"/>
        <v>0</v>
      </c>
      <c r="M28" s="448"/>
    </row>
    <row r="29" spans="1:13" s="23" customFormat="1" ht="12" customHeight="1">
      <c r="A29" s="468"/>
      <c r="B29" s="201"/>
      <c r="C29" s="440"/>
      <c r="D29" s="440"/>
      <c r="E29" s="440"/>
      <c r="F29" s="440"/>
      <c r="G29" s="440"/>
      <c r="H29" s="470"/>
      <c r="I29" s="450"/>
      <c r="J29" s="444"/>
      <c r="K29" s="445"/>
      <c r="L29" s="447"/>
      <c r="M29" s="429"/>
    </row>
    <row r="30" spans="1:13" s="23" customFormat="1" ht="12" customHeight="1">
      <c r="A30" s="468"/>
      <c r="B30" s="201"/>
      <c r="C30" s="440"/>
      <c r="D30" s="440"/>
      <c r="E30" s="440"/>
      <c r="F30" s="440"/>
      <c r="G30" s="440"/>
      <c r="H30" s="470"/>
      <c r="I30" s="449">
        <v>12</v>
      </c>
      <c r="J30" s="442" t="str">
        <f>IF(ISBLANK(회계코드!L26),"",회계코드!L26)</f>
        <v/>
      </c>
      <c r="K30" s="443"/>
      <c r="L30" s="446">
        <f t="shared" si="0"/>
        <v>0</v>
      </c>
      <c r="M30" s="448"/>
    </row>
    <row r="31" spans="1:13" s="23" customFormat="1" ht="12" customHeight="1">
      <c r="A31" s="468"/>
      <c r="B31" s="201"/>
      <c r="C31" s="440"/>
      <c r="D31" s="440"/>
      <c r="E31" s="440"/>
      <c r="F31" s="440"/>
      <c r="G31" s="440"/>
      <c r="H31" s="470"/>
      <c r="I31" s="450"/>
      <c r="J31" s="444"/>
      <c r="K31" s="445"/>
      <c r="L31" s="447"/>
      <c r="M31" s="429"/>
    </row>
    <row r="32" spans="1:13" s="23" customFormat="1" ht="12" customHeight="1">
      <c r="A32" s="469"/>
      <c r="B32" s="201"/>
      <c r="C32" s="441"/>
      <c r="D32" s="441"/>
      <c r="E32" s="441"/>
      <c r="F32" s="441"/>
      <c r="G32" s="441"/>
      <c r="H32" s="447"/>
      <c r="I32" s="449">
        <v>13</v>
      </c>
      <c r="J32" s="442" t="str">
        <f>IF(ISBLANK(회계코드!M26),"",회계코드!M26)</f>
        <v/>
      </c>
      <c r="K32" s="443"/>
      <c r="L32" s="446">
        <f t="shared" si="0"/>
        <v>0</v>
      </c>
      <c r="M32" s="448"/>
    </row>
    <row r="33" spans="1:14" s="23" customFormat="1" ht="12" customHeight="1">
      <c r="A33" s="467" t="s">
        <v>61</v>
      </c>
      <c r="B33" s="201"/>
      <c r="C33" s="439">
        <f>SUMIFS(수입,항목,"교회지원금",회계월,"="&amp;LEFT(A33,LEN(A33)-1))</f>
        <v>0</v>
      </c>
      <c r="D33" s="439">
        <f>SUMIFS(수입,항목,"재배정금",회계월,"="&amp;LEFT(A33,LEN(A33)-1))</f>
        <v>0</v>
      </c>
      <c r="E33" s="439">
        <f>SUMIFS(수입,관,"헌금/회비",회계월,"="&amp;LEFT(A33,LEN(A33)-1))</f>
        <v>0</v>
      </c>
      <c r="F33" s="439">
        <f>SUMIFS(수입,회계월,"="&amp;LEFT(A33,LEN(A33)-1),회계장부!I:I,"&lt;&gt;"&amp;"전년도이월금")-SUM(C33:E37)</f>
        <v>0</v>
      </c>
      <c r="G33" s="439">
        <f t="shared" ref="G33" si="9">SUM(C33:F37)</f>
        <v>0</v>
      </c>
      <c r="H33" s="446">
        <f t="shared" ref="H33" si="10">G33</f>
        <v>0</v>
      </c>
      <c r="I33" s="450"/>
      <c r="J33" s="444"/>
      <c r="K33" s="445"/>
      <c r="L33" s="447"/>
      <c r="M33" s="429"/>
    </row>
    <row r="34" spans="1:14" s="23" customFormat="1" ht="12" customHeight="1">
      <c r="A34" s="468"/>
      <c r="B34" s="201"/>
      <c r="C34" s="440"/>
      <c r="D34" s="440"/>
      <c r="E34" s="440"/>
      <c r="F34" s="440"/>
      <c r="G34" s="440"/>
      <c r="H34" s="470"/>
      <c r="I34" s="449">
        <v>14</v>
      </c>
      <c r="J34" s="442" t="str">
        <f>IF(ISBLANK(회계코드!N26),"",회계코드!N26)</f>
        <v/>
      </c>
      <c r="K34" s="443"/>
      <c r="L34" s="446">
        <f t="shared" si="0"/>
        <v>0</v>
      </c>
      <c r="M34" s="448"/>
    </row>
    <row r="35" spans="1:14" s="23" customFormat="1" ht="12" customHeight="1">
      <c r="A35" s="468"/>
      <c r="B35" s="201"/>
      <c r="C35" s="440"/>
      <c r="D35" s="440"/>
      <c r="E35" s="440"/>
      <c r="F35" s="440"/>
      <c r="G35" s="440"/>
      <c r="H35" s="470"/>
      <c r="I35" s="450"/>
      <c r="J35" s="444"/>
      <c r="K35" s="445"/>
      <c r="L35" s="447"/>
      <c r="M35" s="429"/>
    </row>
    <row r="36" spans="1:14" s="23" customFormat="1" ht="12" customHeight="1">
      <c r="A36" s="468"/>
      <c r="B36" s="201"/>
      <c r="C36" s="440"/>
      <c r="D36" s="440"/>
      <c r="E36" s="440"/>
      <c r="F36" s="440"/>
      <c r="G36" s="440"/>
      <c r="H36" s="470"/>
      <c r="I36" s="449">
        <v>15</v>
      </c>
      <c r="J36" s="442" t="str">
        <f>IF(ISBLANK(회계코드!O26),"",회계코드!O26)</f>
        <v/>
      </c>
      <c r="K36" s="443"/>
      <c r="L36" s="446">
        <f t="shared" si="0"/>
        <v>0</v>
      </c>
      <c r="M36" s="448"/>
    </row>
    <row r="37" spans="1:14" s="23" customFormat="1" ht="12" customHeight="1" thickBot="1">
      <c r="A37" s="436"/>
      <c r="B37" s="202"/>
      <c r="C37" s="441"/>
      <c r="D37" s="441"/>
      <c r="E37" s="441"/>
      <c r="F37" s="441"/>
      <c r="G37" s="441"/>
      <c r="H37" s="447"/>
      <c r="I37" s="450"/>
      <c r="J37" s="444"/>
      <c r="K37" s="445"/>
      <c r="L37" s="447">
        <f t="shared" si="0"/>
        <v>0</v>
      </c>
      <c r="M37" s="429"/>
    </row>
    <row r="38" spans="1:14" s="23" customFormat="1" ht="24.75" customHeight="1" thickBot="1">
      <c r="A38" s="435" t="s">
        <v>62</v>
      </c>
      <c r="B38" s="437">
        <f>SUM(B7)</f>
        <v>100</v>
      </c>
      <c r="C38" s="437">
        <f>SUM(C8:C37)</f>
        <v>0</v>
      </c>
      <c r="D38" s="437">
        <f>SUM(D8:D37)</f>
        <v>0</v>
      </c>
      <c r="E38" s="437">
        <f>SUM(E8:E37)</f>
        <v>200</v>
      </c>
      <c r="F38" s="437">
        <f>SUM(F8:F37)</f>
        <v>0</v>
      </c>
      <c r="G38" s="437">
        <f>SUM(G8:G37)</f>
        <v>200</v>
      </c>
      <c r="H38" s="451">
        <f>SUM(H7:H37)</f>
        <v>300</v>
      </c>
      <c r="I38" s="453" t="s">
        <v>24</v>
      </c>
      <c r="J38" s="454"/>
      <c r="K38" s="455"/>
      <c r="L38" s="459">
        <f>SUM(L8:L37)</f>
        <v>0</v>
      </c>
      <c r="M38" s="25" t="s">
        <v>63</v>
      </c>
    </row>
    <row r="39" spans="1:14" s="23" customFormat="1" ht="24.75" customHeight="1" thickBot="1">
      <c r="A39" s="436"/>
      <c r="B39" s="438"/>
      <c r="C39" s="438"/>
      <c r="D39" s="438"/>
      <c r="E39" s="438"/>
      <c r="F39" s="438"/>
      <c r="G39" s="438"/>
      <c r="H39" s="452"/>
      <c r="I39" s="456"/>
      <c r="J39" s="457"/>
      <c r="K39" s="458"/>
      <c r="L39" s="460"/>
      <c r="M39" s="26">
        <f>H38-L38</f>
        <v>300</v>
      </c>
    </row>
    <row r="40" spans="1:14" s="23" customFormat="1" ht="6" customHeight="1">
      <c r="M40" s="27"/>
    </row>
    <row r="41" spans="1:14" s="23" customFormat="1" ht="16.5">
      <c r="A41" s="16" t="s">
        <v>64</v>
      </c>
      <c r="B41" s="16" t="s">
        <v>65</v>
      </c>
      <c r="D41" s="16"/>
      <c r="E41" s="16"/>
      <c r="F41" s="16"/>
      <c r="G41" s="16"/>
      <c r="M41" s="27"/>
    </row>
    <row r="42" spans="1:14" s="28" customFormat="1" ht="14.25" customHeight="1"/>
    <row r="43" spans="1:14" s="28" customFormat="1" ht="17.25">
      <c r="B43" s="29" t="s">
        <v>83</v>
      </c>
    </row>
    <row r="44" spans="1:14" s="28" customFormat="1" ht="17.25">
      <c r="B44" s="29" t="s">
        <v>173</v>
      </c>
    </row>
    <row r="45" spans="1:14" s="16" customFormat="1" ht="16.5" customHeight="1" thickBot="1"/>
    <row r="46" spans="1:14" s="16" customFormat="1" ht="41.25" customHeight="1" thickBot="1">
      <c r="B46" s="461" t="s">
        <v>84</v>
      </c>
      <c r="C46" s="461"/>
      <c r="D46" s="462"/>
      <c r="E46" s="462"/>
      <c r="F46" s="29" t="s">
        <v>85</v>
      </c>
      <c r="G46" s="29"/>
      <c r="H46" s="29"/>
      <c r="I46" s="29"/>
      <c r="J46" s="29"/>
      <c r="K46" s="30" t="s">
        <v>86</v>
      </c>
      <c r="L46" s="465" t="s">
        <v>87</v>
      </c>
      <c r="M46" s="466"/>
      <c r="N46" s="29"/>
    </row>
    <row r="47" spans="1:14" s="16" customFormat="1" ht="41.25" customHeight="1" thickBot="1">
      <c r="A47" s="29"/>
      <c r="B47" s="461" t="s">
        <v>88</v>
      </c>
      <c r="C47" s="461"/>
      <c r="D47" s="462"/>
      <c r="E47" s="462"/>
      <c r="F47" s="29" t="s">
        <v>89</v>
      </c>
      <c r="G47" s="462"/>
      <c r="H47" s="462"/>
      <c r="I47" s="29"/>
      <c r="J47" s="29"/>
      <c r="K47" s="31" t="s">
        <v>90</v>
      </c>
      <c r="L47" s="463" t="s">
        <v>87</v>
      </c>
      <c r="M47" s="464"/>
      <c r="N47" s="29"/>
    </row>
    <row r="48" spans="1:14" s="16" customFormat="1" ht="9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s="23" customFormat="1" ht="16.5"/>
    <row r="50" spans="1:2" s="23" customFormat="1" ht="16.5">
      <c r="A50" s="28" t="s">
        <v>66</v>
      </c>
      <c r="B50" s="32" t="s">
        <v>67</v>
      </c>
    </row>
    <row r="51" spans="1:2" s="23" customFormat="1" ht="16.5">
      <c r="A51" s="28"/>
      <c r="B51" s="28" t="s">
        <v>68</v>
      </c>
    </row>
    <row r="52" spans="1:2" s="23" customFormat="1" ht="16.5">
      <c r="A52" s="28"/>
      <c r="B52" s="28" t="s">
        <v>69</v>
      </c>
    </row>
    <row r="53" spans="1:2" s="23" customFormat="1" ht="16.5"/>
    <row r="54" spans="1:2" s="23" customFormat="1" ht="16.5">
      <c r="A54" s="28"/>
      <c r="B54" s="28"/>
    </row>
    <row r="55" spans="1:2" s="23" customFormat="1" ht="16.5">
      <c r="A55" s="28"/>
    </row>
    <row r="56" spans="1:2" s="23" customFormat="1" ht="16.5">
      <c r="A56" s="28"/>
    </row>
    <row r="57" spans="1:2" s="23" customFormat="1" ht="16.5">
      <c r="A57" s="28"/>
    </row>
  </sheetData>
  <sheetProtection algorithmName="SHA-512" hashValue="wqWbigpmM2ol6Kof8toayyTEhxAItKFO+4/dPinDbW5Cf1fc932ZHQHK+GI1pCXhDKcSKYONCHr5B5K/zEoBmw==" saltValue="us0z8GXOywrf+2v5Z42o4g==" spinCount="100000" sheet="1" objects="1" scenarios="1"/>
  <mergeCells count="133">
    <mergeCell ref="C23:C27"/>
    <mergeCell ref="D23:D27"/>
    <mergeCell ref="E23:E27"/>
    <mergeCell ref="F23:F27"/>
    <mergeCell ref="G23:G27"/>
    <mergeCell ref="H23:H27"/>
    <mergeCell ref="I28:I29"/>
    <mergeCell ref="C8:C12"/>
    <mergeCell ref="D8:D12"/>
    <mergeCell ref="E8:E12"/>
    <mergeCell ref="F8:F12"/>
    <mergeCell ref="G8:G12"/>
    <mergeCell ref="H8:H12"/>
    <mergeCell ref="G28:G32"/>
    <mergeCell ref="H28:H32"/>
    <mergeCell ref="I8:I9"/>
    <mergeCell ref="A8:A12"/>
    <mergeCell ref="A13:A17"/>
    <mergeCell ref="A18:A22"/>
    <mergeCell ref="C18:C22"/>
    <mergeCell ref="D18:D22"/>
    <mergeCell ref="E18:E22"/>
    <mergeCell ref="F18:F22"/>
    <mergeCell ref="G18:G22"/>
    <mergeCell ref="H18:H22"/>
    <mergeCell ref="C13:C17"/>
    <mergeCell ref="D13:D17"/>
    <mergeCell ref="E13:E17"/>
    <mergeCell ref="F13:F17"/>
    <mergeCell ref="G13:G17"/>
    <mergeCell ref="H13:H17"/>
    <mergeCell ref="A23:A27"/>
    <mergeCell ref="A28:A32"/>
    <mergeCell ref="A33:A37"/>
    <mergeCell ref="I34:I35"/>
    <mergeCell ref="J34:K35"/>
    <mergeCell ref="L34:L35"/>
    <mergeCell ref="M34:M35"/>
    <mergeCell ref="I36:I37"/>
    <mergeCell ref="J36:K37"/>
    <mergeCell ref="L36:L37"/>
    <mergeCell ref="M36:M37"/>
    <mergeCell ref="I30:I31"/>
    <mergeCell ref="J30:K31"/>
    <mergeCell ref="L30:L31"/>
    <mergeCell ref="M30:M31"/>
    <mergeCell ref="I32:I33"/>
    <mergeCell ref="J32:K33"/>
    <mergeCell ref="L32:L33"/>
    <mergeCell ref="M32:M33"/>
    <mergeCell ref="I26:I27"/>
    <mergeCell ref="J26:K27"/>
    <mergeCell ref="L26:L27"/>
    <mergeCell ref="M26:M27"/>
    <mergeCell ref="H33:H37"/>
    <mergeCell ref="B47:C47"/>
    <mergeCell ref="D47:E47"/>
    <mergeCell ref="G47:H47"/>
    <mergeCell ref="L47:M47"/>
    <mergeCell ref="B46:C46"/>
    <mergeCell ref="D46:E46"/>
    <mergeCell ref="L46:M46"/>
    <mergeCell ref="I18:I19"/>
    <mergeCell ref="J18:K19"/>
    <mergeCell ref="L18:L19"/>
    <mergeCell ref="M18:M19"/>
    <mergeCell ref="I20:I21"/>
    <mergeCell ref="J20:K21"/>
    <mergeCell ref="L20:L21"/>
    <mergeCell ref="M20:M21"/>
    <mergeCell ref="J28:K29"/>
    <mergeCell ref="L28:L29"/>
    <mergeCell ref="M28:M29"/>
    <mergeCell ref="I22:I23"/>
    <mergeCell ref="J22:K23"/>
    <mergeCell ref="L22:L23"/>
    <mergeCell ref="M22:M23"/>
    <mergeCell ref="I24:I25"/>
    <mergeCell ref="J24:K25"/>
    <mergeCell ref="J8:K9"/>
    <mergeCell ref="L8:L9"/>
    <mergeCell ref="M8:M9"/>
    <mergeCell ref="I10:I11"/>
    <mergeCell ref="J10:K11"/>
    <mergeCell ref="H38:H39"/>
    <mergeCell ref="I38:K39"/>
    <mergeCell ref="L38:L39"/>
    <mergeCell ref="L10:L11"/>
    <mergeCell ref="M10:M11"/>
    <mergeCell ref="I12:I13"/>
    <mergeCell ref="J12:K13"/>
    <mergeCell ref="L12:L13"/>
    <mergeCell ref="M12:M13"/>
    <mergeCell ref="I14:I15"/>
    <mergeCell ref="J14:K15"/>
    <mergeCell ref="L14:L15"/>
    <mergeCell ref="M14:M15"/>
    <mergeCell ref="I16:I17"/>
    <mergeCell ref="J16:K17"/>
    <mergeCell ref="L16:L17"/>
    <mergeCell ref="M16:M17"/>
    <mergeCell ref="L24:L25"/>
    <mergeCell ref="M24:M25"/>
    <mergeCell ref="A38:A39"/>
    <mergeCell ref="B38:B39"/>
    <mergeCell ref="C38:C39"/>
    <mergeCell ref="D38:D39"/>
    <mergeCell ref="E38:E39"/>
    <mergeCell ref="F38:F39"/>
    <mergeCell ref="G38:G39"/>
    <mergeCell ref="C28:C32"/>
    <mergeCell ref="D28:D32"/>
    <mergeCell ref="E28:E32"/>
    <mergeCell ref="F28:F32"/>
    <mergeCell ref="C33:C37"/>
    <mergeCell ref="D33:D37"/>
    <mergeCell ref="E33:E37"/>
    <mergeCell ref="F33:F37"/>
    <mergeCell ref="G33:G37"/>
    <mergeCell ref="I5:K6"/>
    <mergeCell ref="L5:L6"/>
    <mergeCell ref="C7:G7"/>
    <mergeCell ref="K7:M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</mergeCells>
  <phoneticPr fontId="2" type="noConversion"/>
  <conditionalFormatting sqref="B3:C3">
    <cfRule type="expression" dxfId="8" priority="2">
      <formula>LEN(부서명)=0</formula>
    </cfRule>
  </conditionalFormatting>
  <conditionalFormatting sqref="D3:L3">
    <cfRule type="containsText" dxfId="7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2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D0E1-B75D-4F49-A9BC-9CF44630AF15}">
  <dimension ref="A1:N57"/>
  <sheetViews>
    <sheetView zoomScaleNormal="100" workbookViewId="0">
      <selection activeCell="E28" sqref="E28:E32"/>
    </sheetView>
  </sheetViews>
  <sheetFormatPr defaultColWidth="9" defaultRowHeight="13.5"/>
  <cols>
    <col min="1" max="1" width="8.875" style="33" customWidth="1"/>
    <col min="2" max="8" width="14.875" style="33" customWidth="1"/>
    <col min="9" max="9" width="3.625" style="33" customWidth="1"/>
    <col min="10" max="10" width="9.625" style="33" customWidth="1"/>
    <col min="11" max="11" width="10.625" style="33" customWidth="1"/>
    <col min="12" max="13" width="14.875" style="33" customWidth="1"/>
    <col min="14" max="16384" width="9" style="33"/>
  </cols>
  <sheetData>
    <row r="1" spans="1:13" s="13" customFormat="1" ht="33.75">
      <c r="A1" s="415" t="str">
        <f>"교회 지원기관 검산서 (" &amp; 회계년도 &amp; "년 하반기)"</f>
        <v>교회 지원기관 검산서 (2021년 하반기)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</row>
    <row r="2" spans="1:13" s="13" customFormat="1" ht="6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16" customFormat="1" ht="24" customHeight="1" thickBot="1">
      <c r="A3" s="15" t="s">
        <v>81</v>
      </c>
      <c r="B3" s="416" t="str">
        <f>IF(LEN(부서명)&gt;0,부서명,"회계코드 Sheet에서 부서명을 입력하세요.")</f>
        <v>회계코드 Sheet에서 부서명을 입력하세요.</v>
      </c>
      <c r="C3" s="416"/>
      <c r="D3" s="417" t="str">
        <f>IF(COUNTIFS(회계코드!$A$48:$O$48,"관입력누락")&gt;0,"(오류) 회계코드의 관 항목은 누락없이 순서대로 입력하세요","")</f>
        <v/>
      </c>
      <c r="E3" s="417"/>
      <c r="F3" s="417"/>
      <c r="G3" s="417"/>
      <c r="H3" s="417"/>
      <c r="I3" s="417"/>
      <c r="J3" s="417"/>
      <c r="K3" s="417"/>
      <c r="L3" s="417"/>
      <c r="M3" s="17" t="s">
        <v>82</v>
      </c>
    </row>
    <row r="4" spans="1:13" s="16" customFormat="1" ht="21" customHeight="1">
      <c r="A4" s="418" t="s">
        <v>46</v>
      </c>
      <c r="B4" s="421" t="s">
        <v>47</v>
      </c>
      <c r="C4" s="422"/>
      <c r="D4" s="422"/>
      <c r="E4" s="422"/>
      <c r="F4" s="422"/>
      <c r="G4" s="422"/>
      <c r="H4" s="423"/>
      <c r="I4" s="424" t="s">
        <v>48</v>
      </c>
      <c r="J4" s="425"/>
      <c r="K4" s="425"/>
      <c r="L4" s="426"/>
      <c r="M4" s="427" t="s">
        <v>49</v>
      </c>
    </row>
    <row r="5" spans="1:13" s="16" customFormat="1" ht="21" customHeight="1">
      <c r="A5" s="419"/>
      <c r="B5" s="476" t="s">
        <v>50</v>
      </c>
      <c r="C5" s="432" t="s">
        <v>51</v>
      </c>
      <c r="D5" s="471"/>
      <c r="E5" s="471"/>
      <c r="F5" s="471"/>
      <c r="G5" s="471"/>
      <c r="H5" s="433" t="s">
        <v>52</v>
      </c>
      <c r="I5" s="404" t="s">
        <v>53</v>
      </c>
      <c r="J5" s="471"/>
      <c r="K5" s="472"/>
      <c r="L5" s="410" t="s">
        <v>54</v>
      </c>
      <c r="M5" s="428"/>
    </row>
    <row r="6" spans="1:13" s="16" customFormat="1" ht="21" customHeight="1">
      <c r="A6" s="420"/>
      <c r="B6" s="431"/>
      <c r="C6" s="18" t="s">
        <v>55</v>
      </c>
      <c r="D6" s="18" t="s">
        <v>56</v>
      </c>
      <c r="E6" s="18" t="s">
        <v>57</v>
      </c>
      <c r="F6" s="18" t="s">
        <v>58</v>
      </c>
      <c r="G6" s="19" t="s">
        <v>24</v>
      </c>
      <c r="H6" s="434"/>
      <c r="I6" s="407"/>
      <c r="J6" s="408"/>
      <c r="K6" s="409"/>
      <c r="L6" s="411"/>
      <c r="M6" s="429"/>
    </row>
    <row r="7" spans="1:13" s="16" customFormat="1" ht="33" customHeight="1">
      <c r="A7" s="203" t="s">
        <v>70</v>
      </c>
      <c r="B7" s="34">
        <f>'검산서(상반기)'!B38</f>
        <v>100</v>
      </c>
      <c r="C7" s="34">
        <f>'검산서(상반기)'!C38</f>
        <v>0</v>
      </c>
      <c r="D7" s="34">
        <f>'검산서(상반기)'!D38</f>
        <v>0</v>
      </c>
      <c r="E7" s="34">
        <f>'검산서(상반기)'!E38</f>
        <v>200</v>
      </c>
      <c r="F7" s="34">
        <f>'검산서(상반기)'!F38</f>
        <v>0</v>
      </c>
      <c r="G7" s="34">
        <f>'검산서(상반기)'!G38</f>
        <v>200</v>
      </c>
      <c r="H7" s="34">
        <f>'검산서(상반기)'!H38</f>
        <v>300</v>
      </c>
      <c r="I7" s="473" t="s">
        <v>71</v>
      </c>
      <c r="J7" s="474"/>
      <c r="K7" s="475"/>
      <c r="L7" s="243">
        <f>'검산서(상반기)'!L38</f>
        <v>0</v>
      </c>
      <c r="M7" s="244"/>
    </row>
    <row r="8" spans="1:13" s="23" customFormat="1" ht="12" customHeight="1">
      <c r="A8" s="467" t="s">
        <v>75</v>
      </c>
      <c r="B8" s="482"/>
      <c r="C8" s="439">
        <f>SUMIFS(수입,항목,"교회지원금",회계월,"="&amp;LEFT(A8,LEN(A8)-1))</f>
        <v>0</v>
      </c>
      <c r="D8" s="439">
        <f>SUMIFS(수입,항목,"재배정금",회계월,"="&amp;LEFT(A8,LEN(A8)-1))</f>
        <v>0</v>
      </c>
      <c r="E8" s="439">
        <f>SUMIFS(수입,관,"헌금/회비",회계월,"="&amp;LEFT(A8,LEN(A8)-1))</f>
        <v>0</v>
      </c>
      <c r="F8" s="439">
        <f>SUMIFS(수입,회계월,"="&amp;LEFT(A8,LEN(A8)-1),회계장부!I:I,"&lt;&gt;"&amp;"전년도이월금")-SUM(C8:E12)</f>
        <v>0</v>
      </c>
      <c r="G8" s="439">
        <f>SUM(C8:F12)</f>
        <v>0</v>
      </c>
      <c r="H8" s="446">
        <f>G8</f>
        <v>0</v>
      </c>
      <c r="I8" s="449">
        <v>1</v>
      </c>
      <c r="J8" s="442" t="str">
        <f>IF(ISBLANK(회계코드!A26),"",회계코드!A26)</f>
        <v>간식/식대비</v>
      </c>
      <c r="K8" s="443"/>
      <c r="L8" s="446">
        <f t="shared" ref="L8:L34" si="0">SUMIFS(지출,관,J8,회계월,"&gt;6")</f>
        <v>0</v>
      </c>
      <c r="M8" s="448"/>
    </row>
    <row r="9" spans="1:13" s="23" customFormat="1" ht="12" customHeight="1">
      <c r="A9" s="468"/>
      <c r="B9" s="483"/>
      <c r="C9" s="440"/>
      <c r="D9" s="440"/>
      <c r="E9" s="440"/>
      <c r="F9" s="440"/>
      <c r="G9" s="440"/>
      <c r="H9" s="470"/>
      <c r="I9" s="450"/>
      <c r="J9" s="444"/>
      <c r="K9" s="445"/>
      <c r="L9" s="447"/>
      <c r="M9" s="429"/>
    </row>
    <row r="10" spans="1:13" s="23" customFormat="1" ht="12" customHeight="1">
      <c r="A10" s="468"/>
      <c r="B10" s="483"/>
      <c r="C10" s="440"/>
      <c r="D10" s="440"/>
      <c r="E10" s="440"/>
      <c r="F10" s="440"/>
      <c r="G10" s="440"/>
      <c r="H10" s="470"/>
      <c r="I10" s="449">
        <v>2</v>
      </c>
      <c r="J10" s="442" t="str">
        <f>IF(ISBLANK(회계코드!B26),"",회계코드!B26)</f>
        <v>여름수련회</v>
      </c>
      <c r="K10" s="443"/>
      <c r="L10" s="446">
        <f t="shared" si="0"/>
        <v>0</v>
      </c>
      <c r="M10" s="448"/>
    </row>
    <row r="11" spans="1:13" s="23" customFormat="1" ht="12" customHeight="1">
      <c r="A11" s="468"/>
      <c r="B11" s="483"/>
      <c r="C11" s="440"/>
      <c r="D11" s="440"/>
      <c r="E11" s="440"/>
      <c r="F11" s="440"/>
      <c r="G11" s="440"/>
      <c r="H11" s="470"/>
      <c r="I11" s="450"/>
      <c r="J11" s="444"/>
      <c r="K11" s="445"/>
      <c r="L11" s="447"/>
      <c r="M11" s="429"/>
    </row>
    <row r="12" spans="1:13" s="23" customFormat="1" ht="12" customHeight="1">
      <c r="A12" s="468"/>
      <c r="B12" s="483"/>
      <c r="C12" s="440"/>
      <c r="D12" s="440"/>
      <c r="E12" s="440"/>
      <c r="F12" s="440"/>
      <c r="G12" s="440"/>
      <c r="H12" s="470"/>
      <c r="I12" s="449">
        <v>3</v>
      </c>
      <c r="J12" s="442" t="str">
        <f>IF(ISBLANK(회계코드!C26),"",회계코드!C26)</f>
        <v>찬양축제/신년기도회</v>
      </c>
      <c r="K12" s="443"/>
      <c r="L12" s="446">
        <f t="shared" si="0"/>
        <v>0</v>
      </c>
      <c r="M12" s="448"/>
    </row>
    <row r="13" spans="1:13" s="23" customFormat="1" ht="12" customHeight="1">
      <c r="A13" s="467" t="s">
        <v>76</v>
      </c>
      <c r="B13" s="483"/>
      <c r="C13" s="439">
        <f>SUMIFS(수입,항목,"교회지원금",회계월,"="&amp;LEFT(A13,LEN(A13)-1))</f>
        <v>0</v>
      </c>
      <c r="D13" s="439">
        <f>SUMIFS(수입,항목,"재배정금",회계월,"="&amp;LEFT(A13,LEN(A13)-1))</f>
        <v>0</v>
      </c>
      <c r="E13" s="439">
        <f>SUMIFS(수입,관,"헌금/회비",회계월,"="&amp;LEFT(A13,LEN(A13)-1))</f>
        <v>0</v>
      </c>
      <c r="F13" s="439">
        <f>SUMIFS(수입,회계월,"="&amp;LEFT(A13,LEN(A13)-1),회계장부!I:I,"&lt;&gt;"&amp;"전년도이월금")-SUM(C13:E17)</f>
        <v>0</v>
      </c>
      <c r="G13" s="439">
        <f t="shared" ref="G13" si="1">SUM(C13:F17)</f>
        <v>0</v>
      </c>
      <c r="H13" s="446">
        <f t="shared" ref="H13" si="2">G13</f>
        <v>0</v>
      </c>
      <c r="I13" s="450"/>
      <c r="J13" s="444"/>
      <c r="K13" s="445"/>
      <c r="L13" s="447"/>
      <c r="M13" s="429"/>
    </row>
    <row r="14" spans="1:13" s="23" customFormat="1" ht="12" customHeight="1">
      <c r="A14" s="468"/>
      <c r="B14" s="483"/>
      <c r="C14" s="440"/>
      <c r="D14" s="440"/>
      <c r="E14" s="440"/>
      <c r="F14" s="440"/>
      <c r="G14" s="440"/>
      <c r="H14" s="470"/>
      <c r="I14" s="449">
        <v>4</v>
      </c>
      <c r="J14" s="442" t="str">
        <f>IF(ISBLANK(회계코드!D26),"",회계코드!D26)</f>
        <v>새가족환영회</v>
      </c>
      <c r="K14" s="443"/>
      <c r="L14" s="446">
        <f t="shared" si="0"/>
        <v>0</v>
      </c>
      <c r="M14" s="448"/>
    </row>
    <row r="15" spans="1:13" s="23" customFormat="1" ht="12" customHeight="1">
      <c r="A15" s="468"/>
      <c r="B15" s="483"/>
      <c r="C15" s="440"/>
      <c r="D15" s="440"/>
      <c r="E15" s="440"/>
      <c r="F15" s="440"/>
      <c r="G15" s="440"/>
      <c r="H15" s="470"/>
      <c r="I15" s="450"/>
      <c r="J15" s="444"/>
      <c r="K15" s="445"/>
      <c r="L15" s="447"/>
      <c r="M15" s="429"/>
    </row>
    <row r="16" spans="1:13" s="23" customFormat="1" ht="12" customHeight="1">
      <c r="A16" s="468"/>
      <c r="B16" s="483"/>
      <c r="C16" s="440"/>
      <c r="D16" s="440"/>
      <c r="E16" s="440"/>
      <c r="F16" s="440"/>
      <c r="G16" s="440"/>
      <c r="H16" s="470"/>
      <c r="I16" s="449">
        <v>5</v>
      </c>
      <c r="J16" s="442" t="str">
        <f>IF(ISBLANK(회계코드!E26),"",회계코드!E26)</f>
        <v>시상/선물</v>
      </c>
      <c r="K16" s="443"/>
      <c r="L16" s="446">
        <f t="shared" si="0"/>
        <v>0</v>
      </c>
      <c r="M16" s="448"/>
    </row>
    <row r="17" spans="1:13" s="23" customFormat="1" ht="12" customHeight="1">
      <c r="A17" s="468"/>
      <c r="B17" s="483"/>
      <c r="C17" s="440"/>
      <c r="D17" s="440"/>
      <c r="E17" s="440"/>
      <c r="F17" s="440"/>
      <c r="G17" s="440"/>
      <c r="H17" s="470"/>
      <c r="I17" s="450"/>
      <c r="J17" s="444"/>
      <c r="K17" s="445"/>
      <c r="L17" s="447"/>
      <c r="M17" s="429"/>
    </row>
    <row r="18" spans="1:13" s="23" customFormat="1" ht="12" customHeight="1">
      <c r="A18" s="467" t="s">
        <v>77</v>
      </c>
      <c r="B18" s="483"/>
      <c r="C18" s="439">
        <f>SUMIFS(수입,항목,"교회지원금",회계월,"="&amp;LEFT(A18,LEN(A18)-1))</f>
        <v>0</v>
      </c>
      <c r="D18" s="439">
        <f>SUMIFS(수입,항목,"재배정금",회계월,"="&amp;LEFT(A18,LEN(A18)-1))</f>
        <v>0</v>
      </c>
      <c r="E18" s="439">
        <f>SUMIFS(수입,관,"헌금/회비",회계월,"="&amp;LEFT(A18,LEN(A18)-1))</f>
        <v>0</v>
      </c>
      <c r="F18" s="439">
        <f>SUMIFS(수입,회계월,"="&amp;LEFT(A18,LEN(A18)-1),회계장부!I:I,"&lt;&gt;"&amp;"전년도이월금")-SUM(C18:E22)</f>
        <v>0</v>
      </c>
      <c r="G18" s="439">
        <f t="shared" ref="G18" si="3">SUM(C18:F22)</f>
        <v>0</v>
      </c>
      <c r="H18" s="446">
        <f t="shared" ref="H18" si="4">G18</f>
        <v>0</v>
      </c>
      <c r="I18" s="449">
        <v>6</v>
      </c>
      <c r="J18" s="442" t="str">
        <f>IF(ISBLANK(회계코드!F26),"",회계코드!F26)</f>
        <v>심방비</v>
      </c>
      <c r="K18" s="443"/>
      <c r="L18" s="446">
        <f t="shared" si="0"/>
        <v>0</v>
      </c>
      <c r="M18" s="448"/>
    </row>
    <row r="19" spans="1:13" s="23" customFormat="1" ht="12" customHeight="1">
      <c r="A19" s="468"/>
      <c r="B19" s="483"/>
      <c r="C19" s="440"/>
      <c r="D19" s="440"/>
      <c r="E19" s="440"/>
      <c r="F19" s="440"/>
      <c r="G19" s="440"/>
      <c r="H19" s="470"/>
      <c r="I19" s="450"/>
      <c r="J19" s="444"/>
      <c r="K19" s="445"/>
      <c r="L19" s="447"/>
      <c r="M19" s="429"/>
    </row>
    <row r="20" spans="1:13" s="23" customFormat="1" ht="12" customHeight="1">
      <c r="A20" s="468"/>
      <c r="B20" s="483"/>
      <c r="C20" s="440"/>
      <c r="D20" s="440"/>
      <c r="E20" s="440"/>
      <c r="F20" s="440"/>
      <c r="G20" s="440"/>
      <c r="H20" s="470"/>
      <c r="I20" s="449">
        <v>7</v>
      </c>
      <c r="J20" s="442" t="str">
        <f>IF(ISBLANK(회계코드!G26),"",회계코드!G26)</f>
        <v>한마음체육대회</v>
      </c>
      <c r="K20" s="443"/>
      <c r="L20" s="446">
        <f t="shared" si="0"/>
        <v>0</v>
      </c>
      <c r="M20" s="448"/>
    </row>
    <row r="21" spans="1:13" s="23" customFormat="1" ht="12" customHeight="1">
      <c r="A21" s="468"/>
      <c r="B21" s="483"/>
      <c r="C21" s="440"/>
      <c r="D21" s="440"/>
      <c r="E21" s="440"/>
      <c r="F21" s="440"/>
      <c r="G21" s="440"/>
      <c r="H21" s="470"/>
      <c r="I21" s="450"/>
      <c r="J21" s="444"/>
      <c r="K21" s="445"/>
      <c r="L21" s="447"/>
      <c r="M21" s="429"/>
    </row>
    <row r="22" spans="1:13" s="23" customFormat="1" ht="12" customHeight="1">
      <c r="A22" s="468"/>
      <c r="B22" s="483"/>
      <c r="C22" s="440"/>
      <c r="D22" s="440"/>
      <c r="E22" s="440"/>
      <c r="F22" s="440"/>
      <c r="G22" s="440"/>
      <c r="H22" s="470"/>
      <c r="I22" s="449">
        <v>8</v>
      </c>
      <c r="J22" s="442" t="str">
        <f>IF(ISBLANK(회계코드!H26),"",회계코드!H26)</f>
        <v>육아부/경비</v>
      </c>
      <c r="K22" s="443"/>
      <c r="L22" s="446">
        <f t="shared" si="0"/>
        <v>0</v>
      </c>
      <c r="M22" s="448"/>
    </row>
    <row r="23" spans="1:13" s="23" customFormat="1" ht="12" customHeight="1">
      <c r="A23" s="467" t="s">
        <v>78</v>
      </c>
      <c r="B23" s="483"/>
      <c r="C23" s="439">
        <f>SUMIFS(수입,항목,"교회지원금",회계월,"="&amp;LEFT(A23,LEN(A23)-1))</f>
        <v>0</v>
      </c>
      <c r="D23" s="439">
        <f>SUMIFS(수입,항목,"재배정금",회계월,"="&amp;LEFT(A23,LEN(A23)-1))</f>
        <v>0</v>
      </c>
      <c r="E23" s="439">
        <f>SUMIFS(수입,관,"헌금/회비",회계월,"="&amp;LEFT(A23,LEN(A23)-1))</f>
        <v>0</v>
      </c>
      <c r="F23" s="439">
        <f>SUMIFS(수입,회계월,"="&amp;LEFT(A23,LEN(A23)-1),회계장부!I:I,"&lt;&gt;"&amp;"전년도이월금")-SUM(C23:E27)</f>
        <v>0</v>
      </c>
      <c r="G23" s="439">
        <f t="shared" ref="G23" si="5">SUM(C23:F27)</f>
        <v>0</v>
      </c>
      <c r="H23" s="446">
        <f t="shared" ref="H23" si="6">G23</f>
        <v>0</v>
      </c>
      <c r="I23" s="450"/>
      <c r="J23" s="444"/>
      <c r="K23" s="445"/>
      <c r="L23" s="447"/>
      <c r="M23" s="429"/>
    </row>
    <row r="24" spans="1:13" s="23" customFormat="1" ht="12" customHeight="1">
      <c r="A24" s="468"/>
      <c r="B24" s="483"/>
      <c r="C24" s="440"/>
      <c r="D24" s="440"/>
      <c r="E24" s="440"/>
      <c r="F24" s="440"/>
      <c r="G24" s="440"/>
      <c r="H24" s="470"/>
      <c r="I24" s="449">
        <v>9</v>
      </c>
      <c r="J24" s="442" t="str">
        <f>IF(ISBLANK(회계코드!I26),"",회계코드!I26)</f>
        <v>특강/도서구입비</v>
      </c>
      <c r="K24" s="443"/>
      <c r="L24" s="446">
        <f t="shared" si="0"/>
        <v>0</v>
      </c>
      <c r="M24" s="448"/>
    </row>
    <row r="25" spans="1:13" s="23" customFormat="1" ht="12" customHeight="1">
      <c r="A25" s="468"/>
      <c r="B25" s="483"/>
      <c r="C25" s="440"/>
      <c r="D25" s="440"/>
      <c r="E25" s="440"/>
      <c r="F25" s="440"/>
      <c r="G25" s="440"/>
      <c r="H25" s="470"/>
      <c r="I25" s="450"/>
      <c r="J25" s="444"/>
      <c r="K25" s="445"/>
      <c r="L25" s="447"/>
      <c r="M25" s="429"/>
    </row>
    <row r="26" spans="1:13" s="23" customFormat="1" ht="12" customHeight="1">
      <c r="A26" s="468"/>
      <c r="B26" s="483"/>
      <c r="C26" s="440"/>
      <c r="D26" s="440"/>
      <c r="E26" s="440"/>
      <c r="F26" s="440"/>
      <c r="G26" s="440"/>
      <c r="H26" s="470"/>
      <c r="I26" s="449">
        <v>10</v>
      </c>
      <c r="J26" s="442" t="str">
        <f>IF(ISBLANK(회계코드!J26),"",회계코드!J26)</f>
        <v>요람/현수막제작비</v>
      </c>
      <c r="K26" s="443"/>
      <c r="L26" s="446">
        <f t="shared" si="0"/>
        <v>0</v>
      </c>
      <c r="M26" s="448"/>
    </row>
    <row r="27" spans="1:13" s="23" customFormat="1" ht="12" customHeight="1">
      <c r="A27" s="468"/>
      <c r="B27" s="483"/>
      <c r="C27" s="440"/>
      <c r="D27" s="440"/>
      <c r="E27" s="440"/>
      <c r="F27" s="440"/>
      <c r="G27" s="440"/>
      <c r="H27" s="470"/>
      <c r="I27" s="450"/>
      <c r="J27" s="444"/>
      <c r="K27" s="445"/>
      <c r="L27" s="447"/>
      <c r="M27" s="429"/>
    </row>
    <row r="28" spans="1:13" s="23" customFormat="1" ht="12" customHeight="1">
      <c r="A28" s="467" t="s">
        <v>79</v>
      </c>
      <c r="B28" s="483"/>
      <c r="C28" s="439">
        <f>SUMIFS(수입,항목,"교회지원금",회계월,"="&amp;LEFT(A28,LEN(A28)-1))</f>
        <v>0</v>
      </c>
      <c r="D28" s="439">
        <f>SUMIFS(수입,항목,"재배정금",회계월,"="&amp;LEFT(A28,LEN(A28)-1))</f>
        <v>0</v>
      </c>
      <c r="E28" s="439">
        <f>SUMIFS(수입,관,"헌금/회비",회계월,"="&amp;LEFT(A28,LEN(A28)-1))</f>
        <v>0</v>
      </c>
      <c r="F28" s="439">
        <f>SUMIFS(수입,회계월,"="&amp;LEFT(A28,LEN(A28)-1),회계장부!I:I,"&lt;&gt;"&amp;"전년도이월금")-SUM(C28:E32)</f>
        <v>0</v>
      </c>
      <c r="G28" s="439">
        <f t="shared" ref="G28" si="7">SUM(C28:F32)</f>
        <v>0</v>
      </c>
      <c r="H28" s="446">
        <f t="shared" ref="H28" si="8">G28</f>
        <v>0</v>
      </c>
      <c r="I28" s="449">
        <v>11</v>
      </c>
      <c r="J28" s="442" t="str">
        <f>IF(ISBLANK(회계코드!K26),"",회계코드!K26)</f>
        <v>기타지출</v>
      </c>
      <c r="K28" s="443"/>
      <c r="L28" s="446">
        <f t="shared" si="0"/>
        <v>0</v>
      </c>
      <c r="M28" s="448"/>
    </row>
    <row r="29" spans="1:13" s="23" customFormat="1" ht="12" customHeight="1">
      <c r="A29" s="468"/>
      <c r="B29" s="483"/>
      <c r="C29" s="440"/>
      <c r="D29" s="440"/>
      <c r="E29" s="440"/>
      <c r="F29" s="440"/>
      <c r="G29" s="440"/>
      <c r="H29" s="470"/>
      <c r="I29" s="450"/>
      <c r="J29" s="444"/>
      <c r="K29" s="445"/>
      <c r="L29" s="447"/>
      <c r="M29" s="429"/>
    </row>
    <row r="30" spans="1:13" s="23" customFormat="1" ht="12" customHeight="1">
      <c r="A30" s="468"/>
      <c r="B30" s="483"/>
      <c r="C30" s="440"/>
      <c r="D30" s="440"/>
      <c r="E30" s="440"/>
      <c r="F30" s="440"/>
      <c r="G30" s="440"/>
      <c r="H30" s="470"/>
      <c r="I30" s="449">
        <v>12</v>
      </c>
      <c r="J30" s="442" t="str">
        <f>IF(ISBLANK(회계코드!L26),"",회계코드!L26)</f>
        <v/>
      </c>
      <c r="K30" s="443"/>
      <c r="L30" s="446">
        <f t="shared" si="0"/>
        <v>0</v>
      </c>
      <c r="M30" s="448"/>
    </row>
    <row r="31" spans="1:13" s="23" customFormat="1" ht="12" customHeight="1">
      <c r="A31" s="468"/>
      <c r="B31" s="483"/>
      <c r="C31" s="440"/>
      <c r="D31" s="440"/>
      <c r="E31" s="440"/>
      <c r="F31" s="440"/>
      <c r="G31" s="440"/>
      <c r="H31" s="470"/>
      <c r="I31" s="450"/>
      <c r="J31" s="444"/>
      <c r="K31" s="445"/>
      <c r="L31" s="447"/>
      <c r="M31" s="429"/>
    </row>
    <row r="32" spans="1:13" s="23" customFormat="1" ht="12" customHeight="1">
      <c r="A32" s="468"/>
      <c r="B32" s="483"/>
      <c r="C32" s="440"/>
      <c r="D32" s="440"/>
      <c r="E32" s="440"/>
      <c r="F32" s="440"/>
      <c r="G32" s="440"/>
      <c r="H32" s="470"/>
      <c r="I32" s="449">
        <v>13</v>
      </c>
      <c r="J32" s="442" t="str">
        <f>IF(ISBLANK(회계코드!M26),"",회계코드!M26)</f>
        <v/>
      </c>
      <c r="K32" s="443"/>
      <c r="L32" s="446">
        <f t="shared" si="0"/>
        <v>0</v>
      </c>
      <c r="M32" s="448"/>
    </row>
    <row r="33" spans="1:14" s="23" customFormat="1" ht="12" customHeight="1">
      <c r="A33" s="467" t="s">
        <v>80</v>
      </c>
      <c r="B33" s="483"/>
      <c r="C33" s="439">
        <f>SUMIFS(수입,항목,"교회지원금",회계월,"="&amp;LEFT(A33,LEN(A33)-1))</f>
        <v>0</v>
      </c>
      <c r="D33" s="439">
        <f>SUMIFS(수입,항목,"재배정금",회계월,"="&amp;LEFT(A33,LEN(A33)-1))</f>
        <v>0</v>
      </c>
      <c r="E33" s="439">
        <f>SUMIFS(수입,관,"헌금/회비",회계월,"="&amp;LEFT(A33,LEN(A33)-1))</f>
        <v>0</v>
      </c>
      <c r="F33" s="439">
        <f>SUMIFS(수입,회계월,"="&amp;LEFT(A33,LEN(A33)-1),회계장부!I:I,"&lt;&gt;"&amp;"전년도이월금")-SUM(C33:E37)</f>
        <v>0</v>
      </c>
      <c r="G33" s="439">
        <f t="shared" ref="G33" si="9">SUM(C33:F37)</f>
        <v>0</v>
      </c>
      <c r="H33" s="446">
        <f t="shared" ref="H33" si="10">G33</f>
        <v>0</v>
      </c>
      <c r="I33" s="450"/>
      <c r="J33" s="444"/>
      <c r="K33" s="445"/>
      <c r="L33" s="447"/>
      <c r="M33" s="429"/>
    </row>
    <row r="34" spans="1:14" s="23" customFormat="1" ht="12" customHeight="1">
      <c r="A34" s="468"/>
      <c r="B34" s="483"/>
      <c r="C34" s="440"/>
      <c r="D34" s="440"/>
      <c r="E34" s="440"/>
      <c r="F34" s="440"/>
      <c r="G34" s="440"/>
      <c r="H34" s="470"/>
      <c r="I34" s="449">
        <v>14</v>
      </c>
      <c r="J34" s="442" t="str">
        <f>IF(ISBLANK(회계코드!N26),"",회계코드!N26)</f>
        <v/>
      </c>
      <c r="K34" s="443"/>
      <c r="L34" s="446">
        <f t="shared" si="0"/>
        <v>0</v>
      </c>
      <c r="M34" s="448"/>
    </row>
    <row r="35" spans="1:14" s="23" customFormat="1" ht="12" customHeight="1">
      <c r="A35" s="468"/>
      <c r="B35" s="483"/>
      <c r="C35" s="440"/>
      <c r="D35" s="440"/>
      <c r="E35" s="440"/>
      <c r="F35" s="440"/>
      <c r="G35" s="440"/>
      <c r="H35" s="470"/>
      <c r="I35" s="450"/>
      <c r="J35" s="444"/>
      <c r="K35" s="445"/>
      <c r="L35" s="447"/>
      <c r="M35" s="429"/>
    </row>
    <row r="36" spans="1:14" s="23" customFormat="1" ht="12" customHeight="1">
      <c r="A36" s="468"/>
      <c r="B36" s="483"/>
      <c r="C36" s="440"/>
      <c r="D36" s="440"/>
      <c r="E36" s="440"/>
      <c r="F36" s="440"/>
      <c r="G36" s="440"/>
      <c r="H36" s="470"/>
      <c r="I36" s="449">
        <v>15</v>
      </c>
      <c r="J36" s="442" t="str">
        <f>IF(ISBLANK(회계코드!O26),"",회계코드!O26)</f>
        <v/>
      </c>
      <c r="K36" s="443"/>
      <c r="L36" s="446">
        <f>SUMIFS(지출,관,J36,회계월,"&gt;6")</f>
        <v>0</v>
      </c>
      <c r="M36" s="24"/>
    </row>
    <row r="37" spans="1:14" s="23" customFormat="1" ht="12" customHeight="1" thickBot="1">
      <c r="A37" s="468"/>
      <c r="B37" s="484"/>
      <c r="C37" s="440"/>
      <c r="D37" s="440"/>
      <c r="E37" s="440"/>
      <c r="F37" s="440"/>
      <c r="G37" s="440"/>
      <c r="H37" s="470"/>
      <c r="I37" s="450"/>
      <c r="J37" s="444"/>
      <c r="K37" s="445"/>
      <c r="L37" s="447"/>
      <c r="M37" s="205"/>
    </row>
    <row r="38" spans="1:14" s="23" customFormat="1" ht="24.75" customHeight="1" thickBot="1">
      <c r="A38" s="35" t="s">
        <v>72</v>
      </c>
      <c r="B38" s="36"/>
      <c r="C38" s="37">
        <f t="shared" ref="C38:H38" si="11">SUM(C8:C36)</f>
        <v>0</v>
      </c>
      <c r="D38" s="37">
        <f t="shared" si="11"/>
        <v>0</v>
      </c>
      <c r="E38" s="37">
        <f t="shared" si="11"/>
        <v>0</v>
      </c>
      <c r="F38" s="37">
        <f t="shared" si="11"/>
        <v>0</v>
      </c>
      <c r="G38" s="38">
        <f t="shared" si="11"/>
        <v>0</v>
      </c>
      <c r="H38" s="39">
        <f t="shared" si="11"/>
        <v>0</v>
      </c>
      <c r="I38" s="477" t="s">
        <v>73</v>
      </c>
      <c r="J38" s="478"/>
      <c r="K38" s="479"/>
      <c r="L38" s="38">
        <f>SUM(L8:L36)</f>
        <v>0</v>
      </c>
      <c r="M38" s="25" t="s">
        <v>63</v>
      </c>
    </row>
    <row r="39" spans="1:14" s="23" customFormat="1" ht="24.75" customHeight="1" thickBot="1">
      <c r="A39" s="204" t="s">
        <v>74</v>
      </c>
      <c r="B39" s="40">
        <f>B7</f>
        <v>100</v>
      </c>
      <c r="C39" s="40">
        <f t="shared" ref="C39:H39" si="12">C7+C38</f>
        <v>0</v>
      </c>
      <c r="D39" s="40">
        <f t="shared" si="12"/>
        <v>0</v>
      </c>
      <c r="E39" s="40">
        <f t="shared" si="12"/>
        <v>200</v>
      </c>
      <c r="F39" s="40">
        <f t="shared" si="12"/>
        <v>0</v>
      </c>
      <c r="G39" s="40">
        <f t="shared" si="12"/>
        <v>200</v>
      </c>
      <c r="H39" s="40">
        <f t="shared" si="12"/>
        <v>300</v>
      </c>
      <c r="I39" s="480" t="s">
        <v>74</v>
      </c>
      <c r="J39" s="481"/>
      <c r="K39" s="457"/>
      <c r="L39" s="41">
        <f>L7+L38</f>
        <v>0</v>
      </c>
      <c r="M39" s="42">
        <f>H39-L39</f>
        <v>300</v>
      </c>
    </row>
    <row r="40" spans="1:14" s="23" customFormat="1" ht="6" customHeight="1">
      <c r="M40" s="27"/>
    </row>
    <row r="41" spans="1:14" s="23" customFormat="1" ht="16.5">
      <c r="A41" s="16" t="s">
        <v>64</v>
      </c>
      <c r="B41" s="16" t="s">
        <v>65</v>
      </c>
      <c r="D41" s="16"/>
      <c r="E41" s="16"/>
      <c r="F41" s="16"/>
      <c r="G41" s="16"/>
      <c r="M41" s="27"/>
    </row>
    <row r="42" spans="1:14" s="28" customFormat="1" ht="14.25" customHeight="1"/>
    <row r="43" spans="1:14" s="28" customFormat="1" ht="17.25">
      <c r="B43" s="29" t="s">
        <v>83</v>
      </c>
    </row>
    <row r="44" spans="1:14" s="28" customFormat="1" ht="17.25">
      <c r="B44" s="29" t="s">
        <v>173</v>
      </c>
    </row>
    <row r="45" spans="1:14" s="16" customFormat="1" ht="16.5" customHeight="1" thickBot="1"/>
    <row r="46" spans="1:14" s="16" customFormat="1" ht="41.25" customHeight="1" thickBot="1">
      <c r="B46" s="461" t="s">
        <v>84</v>
      </c>
      <c r="C46" s="461"/>
      <c r="D46" s="462"/>
      <c r="E46" s="462"/>
      <c r="F46" s="29" t="s">
        <v>85</v>
      </c>
      <c r="G46" s="29"/>
      <c r="H46" s="29"/>
      <c r="I46" s="29"/>
      <c r="J46" s="29"/>
      <c r="K46" s="30" t="s">
        <v>86</v>
      </c>
      <c r="L46" s="465" t="s">
        <v>87</v>
      </c>
      <c r="M46" s="466"/>
      <c r="N46" s="29"/>
    </row>
    <row r="47" spans="1:14" s="16" customFormat="1" ht="41.25" customHeight="1" thickBot="1">
      <c r="A47" s="29"/>
      <c r="B47" s="461" t="s">
        <v>88</v>
      </c>
      <c r="C47" s="461"/>
      <c r="D47" s="462"/>
      <c r="E47" s="462"/>
      <c r="F47" s="29" t="s">
        <v>89</v>
      </c>
      <c r="G47" s="462" t="s">
        <v>174</v>
      </c>
      <c r="H47" s="462"/>
      <c r="I47" s="29"/>
      <c r="J47" s="29"/>
      <c r="K47" s="31" t="s">
        <v>90</v>
      </c>
      <c r="L47" s="463" t="s">
        <v>87</v>
      </c>
      <c r="M47" s="464"/>
      <c r="N47" s="29"/>
    </row>
    <row r="48" spans="1:14" s="16" customFormat="1" ht="9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s="23" customFormat="1" ht="16.5"/>
    <row r="50" spans="1:2" s="23" customFormat="1" ht="16.5">
      <c r="A50" s="28" t="s">
        <v>66</v>
      </c>
      <c r="B50" s="32" t="s">
        <v>67</v>
      </c>
    </row>
    <row r="51" spans="1:2" s="23" customFormat="1" ht="16.5">
      <c r="A51" s="28"/>
      <c r="B51" s="28" t="s">
        <v>68</v>
      </c>
    </row>
    <row r="52" spans="1:2" s="23" customFormat="1" ht="16.5">
      <c r="A52" s="28"/>
      <c r="B52" s="28" t="s">
        <v>69</v>
      </c>
    </row>
    <row r="53" spans="1:2" s="23" customFormat="1" ht="16.5"/>
    <row r="54" spans="1:2" s="23" customFormat="1" ht="16.5">
      <c r="A54" s="28"/>
      <c r="B54" s="28"/>
    </row>
    <row r="55" spans="1:2" s="23" customFormat="1" ht="16.5">
      <c r="A55" s="28"/>
    </row>
    <row r="56" spans="1:2" s="23" customFormat="1" ht="16.5">
      <c r="A56" s="28"/>
    </row>
    <row r="57" spans="1:2" s="23" customFormat="1" ht="16.5">
      <c r="A57" s="28"/>
    </row>
  </sheetData>
  <sheetProtection algorithmName="SHA-512" hashValue="c3ktY9pgY0kAisFkI7lucI5ZT16xlWe8DpoIo+6GnIQqVEuXC5ZLQ1ca8Y9o6T0hp9AW49Ey1U7IZw/N2fYs9A==" saltValue="7O7musVYXyJaXtPEZBeM7A==" spinCount="100000" sheet="1" objects="1" scenarios="1"/>
  <mergeCells count="124">
    <mergeCell ref="J34:K35"/>
    <mergeCell ref="L34:L35"/>
    <mergeCell ref="M30:M31"/>
    <mergeCell ref="M32:M33"/>
    <mergeCell ref="M34:M35"/>
    <mergeCell ref="M18:M19"/>
    <mergeCell ref="M20:M21"/>
    <mergeCell ref="M22:M23"/>
    <mergeCell ref="M24:M25"/>
    <mergeCell ref="M26:M27"/>
    <mergeCell ref="M28:M29"/>
    <mergeCell ref="L22:L23"/>
    <mergeCell ref="G23:G27"/>
    <mergeCell ref="H23:H27"/>
    <mergeCell ref="E33:E37"/>
    <mergeCell ref="F33:F37"/>
    <mergeCell ref="G33:G37"/>
    <mergeCell ref="H33:H37"/>
    <mergeCell ref="B8:B37"/>
    <mergeCell ref="M8:M9"/>
    <mergeCell ref="M10:M11"/>
    <mergeCell ref="M12:M13"/>
    <mergeCell ref="M14:M15"/>
    <mergeCell ref="M16:M17"/>
    <mergeCell ref="C28:C32"/>
    <mergeCell ref="D28:D32"/>
    <mergeCell ref="E28:E32"/>
    <mergeCell ref="F28:F32"/>
    <mergeCell ref="G28:G32"/>
    <mergeCell ref="H28:H32"/>
    <mergeCell ref="H18:H22"/>
    <mergeCell ref="L36:L37"/>
    <mergeCell ref="I32:I33"/>
    <mergeCell ref="J32:K33"/>
    <mergeCell ref="L32:L33"/>
    <mergeCell ref="I34:I35"/>
    <mergeCell ref="A18:A22"/>
    <mergeCell ref="C18:C22"/>
    <mergeCell ref="A23:A27"/>
    <mergeCell ref="A28:A32"/>
    <mergeCell ref="A33:A37"/>
    <mergeCell ref="C23:C27"/>
    <mergeCell ref="D23:D27"/>
    <mergeCell ref="E23:E27"/>
    <mergeCell ref="F23:F27"/>
    <mergeCell ref="I30:I31"/>
    <mergeCell ref="J30:K31"/>
    <mergeCell ref="L30:L31"/>
    <mergeCell ref="I24:I25"/>
    <mergeCell ref="J24:K25"/>
    <mergeCell ref="L24:L25"/>
    <mergeCell ref="I26:I27"/>
    <mergeCell ref="J26:K27"/>
    <mergeCell ref="L26:L27"/>
    <mergeCell ref="I16:I17"/>
    <mergeCell ref="J16:K17"/>
    <mergeCell ref="L16:L17"/>
    <mergeCell ref="I18:I19"/>
    <mergeCell ref="J18:K19"/>
    <mergeCell ref="L18:L19"/>
    <mergeCell ref="I28:I29"/>
    <mergeCell ref="J28:K29"/>
    <mergeCell ref="L28:L29"/>
    <mergeCell ref="L8:L9"/>
    <mergeCell ref="I10:I11"/>
    <mergeCell ref="J10:K11"/>
    <mergeCell ref="L10:L11"/>
    <mergeCell ref="I12:I13"/>
    <mergeCell ref="J12:K13"/>
    <mergeCell ref="L12:L13"/>
    <mergeCell ref="A8:A12"/>
    <mergeCell ref="C8:C12"/>
    <mergeCell ref="D8:D12"/>
    <mergeCell ref="E8:E12"/>
    <mergeCell ref="F8:F12"/>
    <mergeCell ref="G8:G12"/>
    <mergeCell ref="H8:H12"/>
    <mergeCell ref="I8:I9"/>
    <mergeCell ref="J8:K9"/>
    <mergeCell ref="A13:A17"/>
    <mergeCell ref="C13:C17"/>
    <mergeCell ref="D13:D17"/>
    <mergeCell ref="E13:E17"/>
    <mergeCell ref="F13:F17"/>
    <mergeCell ref="G13:G17"/>
    <mergeCell ref="H13:H17"/>
    <mergeCell ref="L14:L15"/>
    <mergeCell ref="L46:M46"/>
    <mergeCell ref="B47:C47"/>
    <mergeCell ref="D47:E47"/>
    <mergeCell ref="G47:H47"/>
    <mergeCell ref="L47:M47"/>
    <mergeCell ref="I14:I15"/>
    <mergeCell ref="J14:K15"/>
    <mergeCell ref="I38:K38"/>
    <mergeCell ref="I39:K39"/>
    <mergeCell ref="B46:C46"/>
    <mergeCell ref="D46:E46"/>
    <mergeCell ref="I36:I37"/>
    <mergeCell ref="J36:K37"/>
    <mergeCell ref="C33:C37"/>
    <mergeCell ref="D33:D37"/>
    <mergeCell ref="D18:D22"/>
    <mergeCell ref="E18:E22"/>
    <mergeCell ref="F18:F22"/>
    <mergeCell ref="G18:G22"/>
    <mergeCell ref="I20:I21"/>
    <mergeCell ref="J20:K21"/>
    <mergeCell ref="L20:L21"/>
    <mergeCell ref="I22:I23"/>
    <mergeCell ref="J22:K23"/>
    <mergeCell ref="I5:K6"/>
    <mergeCell ref="L5:L6"/>
    <mergeCell ref="I7:K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</mergeCells>
  <phoneticPr fontId="2" type="noConversion"/>
  <conditionalFormatting sqref="B3:C3">
    <cfRule type="expression" dxfId="6" priority="2">
      <formula>LEN(부서명)=0</formula>
    </cfRule>
  </conditionalFormatting>
  <conditionalFormatting sqref="D3:L3">
    <cfRule type="containsText" dxfId="5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Q359"/>
  <sheetViews>
    <sheetView zoomScaleNormal="100" workbookViewId="0">
      <selection activeCell="B1" sqref="B1"/>
    </sheetView>
  </sheetViews>
  <sheetFormatPr defaultRowHeight="20.100000000000001" customHeight="1"/>
  <cols>
    <col min="1" max="12" width="14.625" style="77" customWidth="1"/>
    <col min="13" max="15" width="14.625" style="78" customWidth="1"/>
    <col min="16" max="213" width="9" style="78"/>
    <col min="214" max="214" width="17" style="78" bestFit="1" customWidth="1"/>
    <col min="215" max="215" width="23.375" style="78" customWidth="1"/>
    <col min="216" max="216" width="14.25" style="78" customWidth="1"/>
    <col min="217" max="469" width="9" style="78"/>
    <col min="470" max="470" width="17" style="78" bestFit="1" customWidth="1"/>
    <col min="471" max="471" width="23.375" style="78" customWidth="1"/>
    <col min="472" max="472" width="14.25" style="78" customWidth="1"/>
    <col min="473" max="725" width="9" style="78"/>
    <col min="726" max="726" width="17" style="78" bestFit="1" customWidth="1"/>
    <col min="727" max="727" width="23.375" style="78" customWidth="1"/>
    <col min="728" max="728" width="14.25" style="78" customWidth="1"/>
    <col min="729" max="981" width="9" style="78"/>
    <col min="982" max="982" width="17" style="78" bestFit="1" customWidth="1"/>
    <col min="983" max="983" width="23.375" style="78" customWidth="1"/>
    <col min="984" max="984" width="14.25" style="78" customWidth="1"/>
    <col min="985" max="1237" width="9" style="78"/>
    <col min="1238" max="1238" width="17" style="78" bestFit="1" customWidth="1"/>
    <col min="1239" max="1239" width="23.375" style="78" customWidth="1"/>
    <col min="1240" max="1240" width="14.25" style="78" customWidth="1"/>
    <col min="1241" max="1493" width="9" style="78"/>
    <col min="1494" max="1494" width="17" style="78" bestFit="1" customWidth="1"/>
    <col min="1495" max="1495" width="23.375" style="78" customWidth="1"/>
    <col min="1496" max="1496" width="14.25" style="78" customWidth="1"/>
    <col min="1497" max="1749" width="9" style="78"/>
    <col min="1750" max="1750" width="17" style="78" bestFit="1" customWidth="1"/>
    <col min="1751" max="1751" width="23.375" style="78" customWidth="1"/>
    <col min="1752" max="1752" width="14.25" style="78" customWidth="1"/>
    <col min="1753" max="2005" width="9" style="78"/>
    <col min="2006" max="2006" width="17" style="78" bestFit="1" customWidth="1"/>
    <col min="2007" max="2007" width="23.375" style="78" customWidth="1"/>
    <col min="2008" max="2008" width="14.25" style="78" customWidth="1"/>
    <col min="2009" max="2261" width="9" style="78"/>
    <col min="2262" max="2262" width="17" style="78" bestFit="1" customWidth="1"/>
    <col min="2263" max="2263" width="23.375" style="78" customWidth="1"/>
    <col min="2264" max="2264" width="14.25" style="78" customWidth="1"/>
    <col min="2265" max="2517" width="9" style="78"/>
    <col min="2518" max="2518" width="17" style="78" bestFit="1" customWidth="1"/>
    <col min="2519" max="2519" width="23.375" style="78" customWidth="1"/>
    <col min="2520" max="2520" width="14.25" style="78" customWidth="1"/>
    <col min="2521" max="2773" width="9" style="78"/>
    <col min="2774" max="2774" width="17" style="78" bestFit="1" customWidth="1"/>
    <col min="2775" max="2775" width="23.375" style="78" customWidth="1"/>
    <col min="2776" max="2776" width="14.25" style="78" customWidth="1"/>
    <col min="2777" max="3029" width="9" style="78"/>
    <col min="3030" max="3030" width="17" style="78" bestFit="1" customWidth="1"/>
    <col min="3031" max="3031" width="23.375" style="78" customWidth="1"/>
    <col min="3032" max="3032" width="14.25" style="78" customWidth="1"/>
    <col min="3033" max="3285" width="9" style="78"/>
    <col min="3286" max="3286" width="17" style="78" bestFit="1" customWidth="1"/>
    <col min="3287" max="3287" width="23.375" style="78" customWidth="1"/>
    <col min="3288" max="3288" width="14.25" style="78" customWidth="1"/>
    <col min="3289" max="3541" width="9" style="78"/>
    <col min="3542" max="3542" width="17" style="78" bestFit="1" customWidth="1"/>
    <col min="3543" max="3543" width="23.375" style="78" customWidth="1"/>
    <col min="3544" max="3544" width="14.25" style="78" customWidth="1"/>
    <col min="3545" max="3797" width="9" style="78"/>
    <col min="3798" max="3798" width="17" style="78" bestFit="1" customWidth="1"/>
    <col min="3799" max="3799" width="23.375" style="78" customWidth="1"/>
    <col min="3800" max="3800" width="14.25" style="78" customWidth="1"/>
    <col min="3801" max="4053" width="9" style="78"/>
    <col min="4054" max="4054" width="17" style="78" bestFit="1" customWidth="1"/>
    <col min="4055" max="4055" width="23.375" style="78" customWidth="1"/>
    <col min="4056" max="4056" width="14.25" style="78" customWidth="1"/>
    <col min="4057" max="4309" width="9" style="78"/>
    <col min="4310" max="4310" width="17" style="78" bestFit="1" customWidth="1"/>
    <col min="4311" max="4311" width="23.375" style="78" customWidth="1"/>
    <col min="4312" max="4312" width="14.25" style="78" customWidth="1"/>
    <col min="4313" max="4565" width="9" style="78"/>
    <col min="4566" max="4566" width="17" style="78" bestFit="1" customWidth="1"/>
    <col min="4567" max="4567" width="23.375" style="78" customWidth="1"/>
    <col min="4568" max="4568" width="14.25" style="78" customWidth="1"/>
    <col min="4569" max="4821" width="9" style="78"/>
    <col min="4822" max="4822" width="17" style="78" bestFit="1" customWidth="1"/>
    <col min="4823" max="4823" width="23.375" style="78" customWidth="1"/>
    <col min="4824" max="4824" width="14.25" style="78" customWidth="1"/>
    <col min="4825" max="5077" width="9" style="78"/>
    <col min="5078" max="5078" width="17" style="78" bestFit="1" customWidth="1"/>
    <col min="5079" max="5079" width="23.375" style="78" customWidth="1"/>
    <col min="5080" max="5080" width="14.25" style="78" customWidth="1"/>
    <col min="5081" max="5333" width="9" style="78"/>
    <col min="5334" max="5334" width="17" style="78" bestFit="1" customWidth="1"/>
    <col min="5335" max="5335" width="23.375" style="78" customWidth="1"/>
    <col min="5336" max="5336" width="14.25" style="78" customWidth="1"/>
    <col min="5337" max="5589" width="9" style="78"/>
    <col min="5590" max="5590" width="17" style="78" bestFit="1" customWidth="1"/>
    <col min="5591" max="5591" width="23.375" style="78" customWidth="1"/>
    <col min="5592" max="5592" width="14.25" style="78" customWidth="1"/>
    <col min="5593" max="5845" width="9" style="78"/>
    <col min="5846" max="5846" width="17" style="78" bestFit="1" customWidth="1"/>
    <col min="5847" max="5847" width="23.375" style="78" customWidth="1"/>
    <col min="5848" max="5848" width="14.25" style="78" customWidth="1"/>
    <col min="5849" max="6101" width="9" style="78"/>
    <col min="6102" max="6102" width="17" style="78" bestFit="1" customWidth="1"/>
    <col min="6103" max="6103" width="23.375" style="78" customWidth="1"/>
    <col min="6104" max="6104" width="14.25" style="78" customWidth="1"/>
    <col min="6105" max="6357" width="9" style="78"/>
    <col min="6358" max="6358" width="17" style="78" bestFit="1" customWidth="1"/>
    <col min="6359" max="6359" width="23.375" style="78" customWidth="1"/>
    <col min="6360" max="6360" width="14.25" style="78" customWidth="1"/>
    <col min="6361" max="6613" width="9" style="78"/>
    <col min="6614" max="6614" width="17" style="78" bestFit="1" customWidth="1"/>
    <col min="6615" max="6615" width="23.375" style="78" customWidth="1"/>
    <col min="6616" max="6616" width="14.25" style="78" customWidth="1"/>
    <col min="6617" max="6869" width="9" style="78"/>
    <col min="6870" max="6870" width="17" style="78" bestFit="1" customWidth="1"/>
    <col min="6871" max="6871" width="23.375" style="78" customWidth="1"/>
    <col min="6872" max="6872" width="14.25" style="78" customWidth="1"/>
    <col min="6873" max="7125" width="9" style="78"/>
    <col min="7126" max="7126" width="17" style="78" bestFit="1" customWidth="1"/>
    <col min="7127" max="7127" width="23.375" style="78" customWidth="1"/>
    <col min="7128" max="7128" width="14.25" style="78" customWidth="1"/>
    <col min="7129" max="7381" width="9" style="78"/>
    <col min="7382" max="7382" width="17" style="78" bestFit="1" customWidth="1"/>
    <col min="7383" max="7383" width="23.375" style="78" customWidth="1"/>
    <col min="7384" max="7384" width="14.25" style="78" customWidth="1"/>
    <col min="7385" max="7637" width="9" style="78"/>
    <col min="7638" max="7638" width="17" style="78" bestFit="1" customWidth="1"/>
    <col min="7639" max="7639" width="23.375" style="78" customWidth="1"/>
    <col min="7640" max="7640" width="14.25" style="78" customWidth="1"/>
    <col min="7641" max="7893" width="9" style="78"/>
    <col min="7894" max="7894" width="17" style="78" bestFit="1" customWidth="1"/>
    <col min="7895" max="7895" width="23.375" style="78" customWidth="1"/>
    <col min="7896" max="7896" width="14.25" style="78" customWidth="1"/>
    <col min="7897" max="8149" width="9" style="78"/>
    <col min="8150" max="8150" width="17" style="78" bestFit="1" customWidth="1"/>
    <col min="8151" max="8151" width="23.375" style="78" customWidth="1"/>
    <col min="8152" max="8152" width="14.25" style="78" customWidth="1"/>
    <col min="8153" max="8405" width="9" style="78"/>
    <col min="8406" max="8406" width="17" style="78" bestFit="1" customWidth="1"/>
    <col min="8407" max="8407" width="23.375" style="78" customWidth="1"/>
    <col min="8408" max="8408" width="14.25" style="78" customWidth="1"/>
    <col min="8409" max="8661" width="9" style="78"/>
    <col min="8662" max="8662" width="17" style="78" bestFit="1" customWidth="1"/>
    <col min="8663" max="8663" width="23.375" style="78" customWidth="1"/>
    <col min="8664" max="8664" width="14.25" style="78" customWidth="1"/>
    <col min="8665" max="8917" width="9" style="78"/>
    <col min="8918" max="8918" width="17" style="78" bestFit="1" customWidth="1"/>
    <col min="8919" max="8919" width="23.375" style="78" customWidth="1"/>
    <col min="8920" max="8920" width="14.25" style="78" customWidth="1"/>
    <col min="8921" max="9173" width="9" style="78"/>
    <col min="9174" max="9174" width="17" style="78" bestFit="1" customWidth="1"/>
    <col min="9175" max="9175" width="23.375" style="78" customWidth="1"/>
    <col min="9176" max="9176" width="14.25" style="78" customWidth="1"/>
    <col min="9177" max="9429" width="9" style="78"/>
    <col min="9430" max="9430" width="17" style="78" bestFit="1" customWidth="1"/>
    <col min="9431" max="9431" width="23.375" style="78" customWidth="1"/>
    <col min="9432" max="9432" width="14.25" style="78" customWidth="1"/>
    <col min="9433" max="9685" width="9" style="78"/>
    <col min="9686" max="9686" width="17" style="78" bestFit="1" customWidth="1"/>
    <col min="9687" max="9687" width="23.375" style="78" customWidth="1"/>
    <col min="9688" max="9688" width="14.25" style="78" customWidth="1"/>
    <col min="9689" max="9941" width="9" style="78"/>
    <col min="9942" max="9942" width="17" style="78" bestFit="1" customWidth="1"/>
    <col min="9943" max="9943" width="23.375" style="78" customWidth="1"/>
    <col min="9944" max="9944" width="14.25" style="78" customWidth="1"/>
    <col min="9945" max="10197" width="9" style="78"/>
    <col min="10198" max="10198" width="17" style="78" bestFit="1" customWidth="1"/>
    <col min="10199" max="10199" width="23.375" style="78" customWidth="1"/>
    <col min="10200" max="10200" width="14.25" style="78" customWidth="1"/>
    <col min="10201" max="10453" width="9" style="78"/>
    <col min="10454" max="10454" width="17" style="78" bestFit="1" customWidth="1"/>
    <col min="10455" max="10455" width="23.375" style="78" customWidth="1"/>
    <col min="10456" max="10456" width="14.25" style="78" customWidth="1"/>
    <col min="10457" max="10709" width="9" style="78"/>
    <col min="10710" max="10710" width="17" style="78" bestFit="1" customWidth="1"/>
    <col min="10711" max="10711" width="23.375" style="78" customWidth="1"/>
    <col min="10712" max="10712" width="14.25" style="78" customWidth="1"/>
    <col min="10713" max="10965" width="9" style="78"/>
    <col min="10966" max="10966" width="17" style="78" bestFit="1" customWidth="1"/>
    <col min="10967" max="10967" width="23.375" style="78" customWidth="1"/>
    <col min="10968" max="10968" width="14.25" style="78" customWidth="1"/>
    <col min="10969" max="11221" width="9" style="78"/>
    <col min="11222" max="11222" width="17" style="78" bestFit="1" customWidth="1"/>
    <col min="11223" max="11223" width="23.375" style="78" customWidth="1"/>
    <col min="11224" max="11224" width="14.25" style="78" customWidth="1"/>
    <col min="11225" max="11477" width="9" style="78"/>
    <col min="11478" max="11478" width="17" style="78" bestFit="1" customWidth="1"/>
    <col min="11479" max="11479" width="23.375" style="78" customWidth="1"/>
    <col min="11480" max="11480" width="14.25" style="78" customWidth="1"/>
    <col min="11481" max="11733" width="9" style="78"/>
    <col min="11734" max="11734" width="17" style="78" bestFit="1" customWidth="1"/>
    <col min="11735" max="11735" width="23.375" style="78" customWidth="1"/>
    <col min="11736" max="11736" width="14.25" style="78" customWidth="1"/>
    <col min="11737" max="11989" width="9" style="78"/>
    <col min="11990" max="11990" width="17" style="78" bestFit="1" customWidth="1"/>
    <col min="11991" max="11991" width="23.375" style="78" customWidth="1"/>
    <col min="11992" max="11992" width="14.25" style="78" customWidth="1"/>
    <col min="11993" max="12245" width="9" style="78"/>
    <col min="12246" max="12246" width="17" style="78" bestFit="1" customWidth="1"/>
    <col min="12247" max="12247" width="23.375" style="78" customWidth="1"/>
    <col min="12248" max="12248" width="14.25" style="78" customWidth="1"/>
    <col min="12249" max="12501" width="9" style="78"/>
    <col min="12502" max="12502" width="17" style="78" bestFit="1" customWidth="1"/>
    <col min="12503" max="12503" width="23.375" style="78" customWidth="1"/>
    <col min="12504" max="12504" width="14.25" style="78" customWidth="1"/>
    <col min="12505" max="12757" width="9" style="78"/>
    <col min="12758" max="12758" width="17" style="78" bestFit="1" customWidth="1"/>
    <col min="12759" max="12759" width="23.375" style="78" customWidth="1"/>
    <col min="12760" max="12760" width="14.25" style="78" customWidth="1"/>
    <col min="12761" max="13013" width="9" style="78"/>
    <col min="13014" max="13014" width="17" style="78" bestFit="1" customWidth="1"/>
    <col min="13015" max="13015" width="23.375" style="78" customWidth="1"/>
    <col min="13016" max="13016" width="14.25" style="78" customWidth="1"/>
    <col min="13017" max="13269" width="9" style="78"/>
    <col min="13270" max="13270" width="17" style="78" bestFit="1" customWidth="1"/>
    <col min="13271" max="13271" width="23.375" style="78" customWidth="1"/>
    <col min="13272" max="13272" width="14.25" style="78" customWidth="1"/>
    <col min="13273" max="13525" width="9" style="78"/>
    <col min="13526" max="13526" width="17" style="78" bestFit="1" customWidth="1"/>
    <col min="13527" max="13527" width="23.375" style="78" customWidth="1"/>
    <col min="13528" max="13528" width="14.25" style="78" customWidth="1"/>
    <col min="13529" max="13781" width="9" style="78"/>
    <col min="13782" max="13782" width="17" style="78" bestFit="1" customWidth="1"/>
    <col min="13783" max="13783" width="23.375" style="78" customWidth="1"/>
    <col min="13784" max="13784" width="14.25" style="78" customWidth="1"/>
    <col min="13785" max="14037" width="9" style="78"/>
    <col min="14038" max="14038" width="17" style="78" bestFit="1" customWidth="1"/>
    <col min="14039" max="14039" width="23.375" style="78" customWidth="1"/>
    <col min="14040" max="14040" width="14.25" style="78" customWidth="1"/>
    <col min="14041" max="14293" width="9" style="78"/>
    <col min="14294" max="14294" width="17" style="78" bestFit="1" customWidth="1"/>
    <col min="14295" max="14295" width="23.375" style="78" customWidth="1"/>
    <col min="14296" max="14296" width="14.25" style="78" customWidth="1"/>
    <col min="14297" max="14549" width="9" style="78"/>
    <col min="14550" max="14550" width="17" style="78" bestFit="1" customWidth="1"/>
    <col min="14551" max="14551" width="23.375" style="78" customWidth="1"/>
    <col min="14552" max="14552" width="14.25" style="78" customWidth="1"/>
    <col min="14553" max="14805" width="9" style="78"/>
    <col min="14806" max="14806" width="17" style="78" bestFit="1" customWidth="1"/>
    <col min="14807" max="14807" width="23.375" style="78" customWidth="1"/>
    <col min="14808" max="14808" width="14.25" style="78" customWidth="1"/>
    <col min="14809" max="15061" width="9" style="78"/>
    <col min="15062" max="15062" width="17" style="78" bestFit="1" customWidth="1"/>
    <col min="15063" max="15063" width="23.375" style="78" customWidth="1"/>
    <col min="15064" max="15064" width="14.25" style="78" customWidth="1"/>
    <col min="15065" max="15317" width="9" style="78"/>
    <col min="15318" max="15318" width="17" style="78" bestFit="1" customWidth="1"/>
    <col min="15319" max="15319" width="23.375" style="78" customWidth="1"/>
    <col min="15320" max="15320" width="14.25" style="78" customWidth="1"/>
    <col min="15321" max="15573" width="9" style="78"/>
    <col min="15574" max="15574" width="17" style="78" bestFit="1" customWidth="1"/>
    <col min="15575" max="15575" width="23.375" style="78" customWidth="1"/>
    <col min="15576" max="15576" width="14.25" style="78" customWidth="1"/>
    <col min="15577" max="15829" width="9" style="78"/>
    <col min="15830" max="15830" width="17" style="78" bestFit="1" customWidth="1"/>
    <col min="15831" max="15831" width="23.375" style="78" customWidth="1"/>
    <col min="15832" max="15832" width="14.25" style="78" customWidth="1"/>
    <col min="15833" max="16085" width="9" style="78"/>
    <col min="16086" max="16086" width="17" style="78" bestFit="1" customWidth="1"/>
    <col min="16087" max="16087" width="23.375" style="78" customWidth="1"/>
    <col min="16088" max="16088" width="14.25" style="78" customWidth="1"/>
    <col min="16089" max="16384" width="9" style="78"/>
  </cols>
  <sheetData>
    <row r="1" spans="1:17" ht="27.75" customHeight="1" thickBot="1">
      <c r="A1" s="95" t="s">
        <v>114</v>
      </c>
      <c r="B1" s="96"/>
      <c r="C1" s="95" t="s">
        <v>172</v>
      </c>
      <c r="D1" s="242">
        <v>2021</v>
      </c>
      <c r="E1" s="487" t="str">
        <f>IF(LEN(부서명)=0," ☜ 부서명을 입력하세요. ", IF(LEN(회계년도)=0," ☜ 회계연도(숫자 4자리)를 입력하세요. ",""))</f>
        <v xml:space="preserve"> ☜ 부서명을 입력하세요. </v>
      </c>
      <c r="F1" s="488"/>
      <c r="G1" s="488"/>
      <c r="H1" s="488"/>
      <c r="I1" s="488"/>
      <c r="J1" s="488"/>
      <c r="K1" s="488"/>
      <c r="L1" s="488"/>
      <c r="M1" s="488"/>
      <c r="N1" s="488"/>
      <c r="O1" s="188"/>
    </row>
    <row r="2" spans="1:17" ht="18" customHeight="1" thickBot="1">
      <c r="A2" s="94" t="s">
        <v>43</v>
      </c>
      <c r="B2" s="485"/>
      <c r="C2" s="486"/>
      <c r="D2" s="486"/>
      <c r="E2" s="486"/>
      <c r="F2" s="486"/>
      <c r="G2" s="486"/>
      <c r="H2" s="486"/>
      <c r="I2" s="486"/>
      <c r="J2" s="486"/>
      <c r="K2" s="486"/>
      <c r="L2" s="486"/>
    </row>
    <row r="3" spans="1:17" s="79" customFormat="1" ht="18" customHeight="1" thickBot="1">
      <c r="A3" s="172" t="s">
        <v>113</v>
      </c>
      <c r="B3" s="173" t="s">
        <v>112</v>
      </c>
      <c r="C3" s="173" t="s">
        <v>127</v>
      </c>
      <c r="D3" s="173" t="s">
        <v>129</v>
      </c>
      <c r="E3" s="173"/>
      <c r="F3" s="173"/>
      <c r="G3" s="173"/>
      <c r="H3" s="173"/>
      <c r="I3" s="173"/>
      <c r="J3" s="173"/>
      <c r="K3" s="173"/>
      <c r="L3" s="174"/>
      <c r="M3" s="173"/>
      <c r="N3" s="173"/>
      <c r="O3" s="174"/>
      <c r="Q3" s="188"/>
    </row>
    <row r="4" spans="1:17" s="80" customFormat="1" ht="18" customHeight="1">
      <c r="A4" s="175" t="s">
        <v>113</v>
      </c>
      <c r="B4" s="176" t="s">
        <v>138</v>
      </c>
      <c r="C4" s="176" t="s">
        <v>130</v>
      </c>
      <c r="D4" s="176" t="s">
        <v>131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8"/>
    </row>
    <row r="5" spans="1:17" s="80" customFormat="1" ht="18" customHeight="1">
      <c r="A5" s="66"/>
      <c r="B5" s="179" t="s">
        <v>139</v>
      </c>
      <c r="C5" s="180" t="s">
        <v>128</v>
      </c>
      <c r="D5" s="180" t="s">
        <v>132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68"/>
    </row>
    <row r="6" spans="1:17" s="81" customFormat="1" ht="18" customHeight="1">
      <c r="A6" s="69"/>
      <c r="B6" s="179" t="s">
        <v>140</v>
      </c>
      <c r="C6" s="179"/>
      <c r="D6" s="180" t="s">
        <v>133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67"/>
    </row>
    <row r="7" spans="1:17" ht="18" customHeight="1">
      <c r="A7" s="69"/>
      <c r="B7" s="179" t="s">
        <v>142</v>
      </c>
      <c r="C7" s="179"/>
      <c r="D7" s="180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67"/>
    </row>
    <row r="8" spans="1:17" ht="18" customHeight="1">
      <c r="A8" s="69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67"/>
    </row>
    <row r="9" spans="1:17" ht="18" customHeight="1" thickBot="1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2"/>
    </row>
    <row r="10" spans="1:17" ht="18" hidden="1" customHeight="1">
      <c r="A10" s="187"/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1:17" ht="18" hidden="1" customHeight="1">
      <c r="A11" s="187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1:17" ht="18" hidden="1" customHeight="1">
      <c r="A12" s="187"/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</row>
    <row r="13" spans="1:17" ht="18" hidden="1" customHeight="1">
      <c r="A13" s="187"/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</row>
    <row r="14" spans="1:17" ht="18" hidden="1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</row>
    <row r="15" spans="1:17" ht="18" hidden="1" customHeight="1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</row>
    <row r="16" spans="1:17" ht="18" hidden="1" customHeight="1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</row>
    <row r="17" spans="1:15" ht="18" hidden="1" customHeight="1">
      <c r="A17" s="187"/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</row>
    <row r="18" spans="1:15" ht="18" hidden="1" customHeight="1">
      <c r="A18" s="187"/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</row>
    <row r="19" spans="1:15" ht="18" hidden="1" customHeight="1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</row>
    <row r="20" spans="1:15" ht="18" hidden="1" customHeight="1">
      <c r="A20" s="187"/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</row>
    <row r="21" spans="1:15" ht="18" hidden="1" customHeight="1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</row>
    <row r="22" spans="1:15" ht="18" hidden="1" customHeight="1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</row>
    <row r="23" spans="1:15" ht="18" hidden="1" customHeight="1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</row>
    <row r="24" spans="1:15" ht="18" customHeight="1" thickBot="1"/>
    <row r="25" spans="1:15" ht="18" customHeight="1" thickBot="1">
      <c r="A25" s="82" t="s">
        <v>44</v>
      </c>
      <c r="B25" s="489" t="str">
        <f>IF(COUNTA($A$27:$O$46)&gt;37," (오류) 등록한 지출항목이 "&amp;COUNTA($A$27:$O$46)&amp;"개입니다. 지출항목은 최대 37개를 초과하면 회계보고서를 자동 생성할 수 없습니다.",IF(COUNTIFS($A$48:$L$48,"오류")&gt;0," (오류) 지출코드 '관'과 '지출항목' 모두를 입력해야 합니다.",IF(COUNTIFS($A$48:$O$48,"관입력누락")&gt;0,"(오류) 관 항목은 누락없이 순서대로 입력하세요","")))</f>
        <v/>
      </c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0"/>
      <c r="N25" s="490"/>
      <c r="O25" s="490"/>
    </row>
    <row r="26" spans="1:15" s="79" customFormat="1" ht="18" customHeight="1">
      <c r="A26" s="63" t="s">
        <v>143</v>
      </c>
      <c r="B26" s="64" t="s">
        <v>144</v>
      </c>
      <c r="C26" s="64" t="s">
        <v>145</v>
      </c>
      <c r="D26" s="64" t="s">
        <v>146</v>
      </c>
      <c r="E26" s="64" t="s">
        <v>147</v>
      </c>
      <c r="F26" s="64" t="s">
        <v>148</v>
      </c>
      <c r="G26" s="64" t="s">
        <v>149</v>
      </c>
      <c r="H26" s="64" t="s">
        <v>150</v>
      </c>
      <c r="I26" s="64" t="s">
        <v>151</v>
      </c>
      <c r="J26" s="64" t="s">
        <v>152</v>
      </c>
      <c r="K26" s="64" t="s">
        <v>153</v>
      </c>
      <c r="L26" s="64"/>
      <c r="M26" s="64"/>
      <c r="N26" s="64"/>
      <c r="O26" s="65"/>
    </row>
    <row r="27" spans="1:15" ht="18" customHeight="1">
      <c r="A27" s="73" t="s">
        <v>154</v>
      </c>
      <c r="B27" s="74" t="s">
        <v>156</v>
      </c>
      <c r="C27" s="74" t="s">
        <v>157</v>
      </c>
      <c r="D27" s="74" t="s">
        <v>159</v>
      </c>
      <c r="E27" s="74" t="s">
        <v>160</v>
      </c>
      <c r="F27" s="74" t="s">
        <v>161</v>
      </c>
      <c r="G27" s="74" t="s">
        <v>163</v>
      </c>
      <c r="H27" s="74" t="s">
        <v>164</v>
      </c>
      <c r="I27" s="74" t="s">
        <v>165</v>
      </c>
      <c r="J27" s="74" t="s">
        <v>167</v>
      </c>
      <c r="K27" s="74" t="s">
        <v>169</v>
      </c>
      <c r="L27" s="74"/>
      <c r="M27" s="74"/>
      <c r="N27" s="74"/>
      <c r="O27" s="75"/>
    </row>
    <row r="28" spans="1:15" s="81" customFormat="1" ht="18" customHeight="1">
      <c r="A28" s="73" t="s">
        <v>155</v>
      </c>
      <c r="B28" s="74"/>
      <c r="C28" s="74" t="s">
        <v>158</v>
      </c>
      <c r="D28" s="74"/>
      <c r="E28" s="74"/>
      <c r="F28" s="74" t="s">
        <v>162</v>
      </c>
      <c r="G28" s="74"/>
      <c r="H28" s="74"/>
      <c r="I28" s="74" t="s">
        <v>166</v>
      </c>
      <c r="J28" s="74" t="s">
        <v>168</v>
      </c>
      <c r="K28" s="74" t="s">
        <v>170</v>
      </c>
      <c r="L28" s="74"/>
      <c r="M28" s="74"/>
      <c r="N28" s="74"/>
      <c r="O28" s="75"/>
    </row>
    <row r="29" spans="1:15" s="81" customFormat="1" ht="18" customHeight="1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 t="s">
        <v>171</v>
      </c>
      <c r="L29" s="74"/>
      <c r="M29" s="74"/>
      <c r="N29" s="74"/>
      <c r="O29" s="75"/>
    </row>
    <row r="30" spans="1:15" s="81" customFormat="1" ht="18" customHeight="1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/>
    </row>
    <row r="31" spans="1:15" s="81" customFormat="1" ht="18" customHeight="1">
      <c r="A31" s="7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</row>
    <row r="32" spans="1:15" s="81" customFormat="1" ht="18" customHeight="1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</row>
    <row r="33" spans="1:15" s="81" customFormat="1" ht="18" customHeight="1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</row>
    <row r="34" spans="1:15" s="81" customFormat="1" ht="18" customHeight="1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</row>
    <row r="35" spans="1:15" s="81" customFormat="1" ht="18" customHeight="1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/>
    </row>
    <row r="36" spans="1:15" s="81" customFormat="1" ht="18" customHeight="1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/>
    </row>
    <row r="37" spans="1:15" s="81" customFormat="1" ht="18" customHeight="1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/>
    </row>
    <row r="38" spans="1:15" s="81" customFormat="1" ht="18" customHeight="1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/>
    </row>
    <row r="39" spans="1:15" s="81" customFormat="1" ht="18" customHeight="1">
      <c r="A39" s="73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/>
    </row>
    <row r="40" spans="1:15" s="81" customFormat="1" ht="18" customHeight="1">
      <c r="A40" s="73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/>
    </row>
    <row r="41" spans="1:15" s="81" customFormat="1" ht="18" customHeight="1">
      <c r="A41" s="73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/>
    </row>
    <row r="42" spans="1:15" s="81" customFormat="1" ht="18" customHeight="1">
      <c r="A42" s="73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/>
    </row>
    <row r="43" spans="1:15" ht="18" customHeight="1">
      <c r="A43" s="73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/>
    </row>
    <row r="44" spans="1:15" ht="18" customHeight="1">
      <c r="A44" s="7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</row>
    <row r="45" spans="1:15" ht="18" customHeight="1">
      <c r="A45" s="73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/>
    </row>
    <row r="46" spans="1:15" s="81" customFormat="1" ht="18" customHeight="1" thickBot="1">
      <c r="A46" s="169"/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1"/>
    </row>
    <row r="47" spans="1:15" s="81" customFormat="1" ht="20.100000000000001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</row>
    <row r="48" spans="1:15" s="183" customFormat="1" ht="20.100000000000001" customHeight="1">
      <c r="A48" s="182" t="str">
        <f>IF(AND(LEN(A26)=0,COUNTA(B26:$O$26)&gt;0),"관입력누락","")</f>
        <v/>
      </c>
      <c r="B48" s="182" t="str">
        <f>IF(AND(LEN(B26)=0,COUNTA(C26:$O$26)&gt;0),"관입력누락","")</f>
        <v/>
      </c>
      <c r="C48" s="182" t="str">
        <f>IF(AND(LEN(C26)=0,COUNTA(D26:$O$26)&gt;0),"관입력누락","")</f>
        <v/>
      </c>
      <c r="D48" s="182" t="str">
        <f>IF(AND(LEN(D26)=0,COUNTA(E26:$O$26)&gt;0),"관입력누락","")</f>
        <v/>
      </c>
      <c r="E48" s="182" t="str">
        <f>IF(AND(LEN(E26)=0,COUNTA(F26:$O$26)&gt;0),"관입력누락","")</f>
        <v/>
      </c>
      <c r="F48" s="182" t="str">
        <f>IF(AND(LEN(F26)=0,COUNTA(G26:$O$26)&gt;0),"관입력누락","")</f>
        <v/>
      </c>
      <c r="G48" s="182" t="str">
        <f>IF(AND(LEN(G26)=0,COUNTA(H26:$O$26)&gt;0),"관입력누락","")</f>
        <v/>
      </c>
      <c r="H48" s="182" t="str">
        <f>IF(AND(LEN(H26)=0,COUNTA(I26:$O$26)&gt;0),"관입력누락","")</f>
        <v/>
      </c>
      <c r="I48" s="182" t="str">
        <f>IF(AND(LEN(I26)=0,COUNTA(J26:$O$26)&gt;0),"관입력누락","")</f>
        <v/>
      </c>
      <c r="J48" s="182" t="str">
        <f>IF(AND(LEN(J26)=0,COUNTA(K26:$O$26)&gt;0),"관입력누락","")</f>
        <v/>
      </c>
      <c r="K48" s="182" t="str">
        <f>IF(AND(LEN(K26)=0,COUNTA(L26:$O$26)&gt;0),"관입력누락","")</f>
        <v/>
      </c>
      <c r="L48" s="182" t="str">
        <f>IF(AND(LEN(L26)=0,COUNTA(M26:$O$26)&gt;0),"관입력누락","")</f>
        <v/>
      </c>
      <c r="M48" s="182" t="str">
        <f>IF(AND(LEN(M26)=0,COUNTA(N26:$O$26)&gt;0),"관입력누락","")</f>
        <v/>
      </c>
      <c r="N48" s="182" t="str">
        <f>IF(AND(LEN(N26)=0,COUNTA(O26:$O$26)&gt;0),"관입력누락","")</f>
        <v/>
      </c>
      <c r="O48" s="182" t="str">
        <f>IF(AND(LEN(O26)=0,COUNTA($O26:P$26)&gt;0),"관입력누락","")</f>
        <v/>
      </c>
    </row>
    <row r="49" spans="1:15" s="81" customFormat="1" ht="20.100000000000001" customHeight="1">
      <c r="A49" s="93">
        <f>COUNTA(A27:A46)</f>
        <v>2</v>
      </c>
      <c r="B49" s="93">
        <f t="shared" ref="B49:O49" si="0">COUNTA(B27:B46)</f>
        <v>1</v>
      </c>
      <c r="C49" s="93">
        <f t="shared" si="0"/>
        <v>2</v>
      </c>
      <c r="D49" s="93">
        <f t="shared" si="0"/>
        <v>1</v>
      </c>
      <c r="E49" s="93">
        <f t="shared" si="0"/>
        <v>1</v>
      </c>
      <c r="F49" s="93">
        <f t="shared" si="0"/>
        <v>2</v>
      </c>
      <c r="G49" s="93">
        <f t="shared" si="0"/>
        <v>1</v>
      </c>
      <c r="H49" s="93">
        <f t="shared" si="0"/>
        <v>1</v>
      </c>
      <c r="I49" s="93">
        <f t="shared" si="0"/>
        <v>2</v>
      </c>
      <c r="J49" s="93">
        <f t="shared" si="0"/>
        <v>2</v>
      </c>
      <c r="K49" s="93">
        <f t="shared" si="0"/>
        <v>3</v>
      </c>
      <c r="L49" s="93">
        <f t="shared" si="0"/>
        <v>0</v>
      </c>
      <c r="M49" s="93">
        <f t="shared" si="0"/>
        <v>0</v>
      </c>
      <c r="N49" s="93">
        <f t="shared" si="0"/>
        <v>0</v>
      </c>
      <c r="O49" s="93">
        <f t="shared" si="0"/>
        <v>0</v>
      </c>
    </row>
    <row r="50" spans="1:15" s="81" customFormat="1" ht="20.100000000000001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</row>
    <row r="51" spans="1:15" s="81" customFormat="1" ht="20.100000000000001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</row>
    <row r="52" spans="1:15" s="81" customFormat="1" ht="20.100000000000001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</row>
    <row r="53" spans="1:15" s="81" customFormat="1" ht="20.100000000000001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</row>
    <row r="54" spans="1:15" s="81" customFormat="1" ht="20.100000000000001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</row>
    <row r="55" spans="1:15" s="81" customFormat="1" ht="20.100000000000001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</row>
    <row r="56" spans="1:15" s="81" customFormat="1" ht="20.100000000000001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</row>
    <row r="57" spans="1:15" s="81" customFormat="1" ht="20.100000000000001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</row>
    <row r="58" spans="1:15" ht="20.100000000000001" customHeight="1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</row>
    <row r="59" spans="1:15" s="85" customFormat="1" ht="20.100000000000001" customHeight="1" thickBot="1">
      <c r="A59" s="84">
        <f>ROW(회계보고서!F5)</f>
        <v>5</v>
      </c>
    </row>
    <row r="60" spans="1:15" s="85" customFormat="1" ht="20.100000000000001" customHeight="1">
      <c r="A60" s="86">
        <f>IF(LEN(A27)&gt;0,A59+1,0)</f>
        <v>6</v>
      </c>
      <c r="B60" s="87" t="str">
        <f t="shared" ref="B60:B75" si="1">IF(LEN(A27)&gt;0,A27,"")</f>
        <v>수/토/주일간식</v>
      </c>
      <c r="C60" s="84">
        <f>IF(SUM(A60:A79)&gt;0,MIN(A60:A79))</f>
        <v>6</v>
      </c>
      <c r="D60" s="88" t="str">
        <f>IF(SUM(A60:A79)&gt;0,A26)</f>
        <v>간식/식대비</v>
      </c>
    </row>
    <row r="61" spans="1:15" s="85" customFormat="1" ht="20.100000000000001" customHeight="1">
      <c r="A61" s="89">
        <f>IF(LEN(A28)&gt;0,MAX($A$60:A60)+1,"")</f>
        <v>7</v>
      </c>
      <c r="B61" s="87" t="str">
        <f t="shared" si="1"/>
        <v>임원식사</v>
      </c>
      <c r="C61" s="84"/>
      <c r="D61" s="84"/>
    </row>
    <row r="62" spans="1:15" s="85" customFormat="1" ht="20.100000000000001" customHeight="1">
      <c r="A62" s="89" t="str">
        <f>IF(LEN(A29)&gt;0,MAX($A$60:A61)+1,"")</f>
        <v/>
      </c>
      <c r="B62" s="87" t="str">
        <f t="shared" si="1"/>
        <v/>
      </c>
      <c r="C62" s="84"/>
      <c r="D62" s="84"/>
    </row>
    <row r="63" spans="1:15" s="85" customFormat="1" ht="20.100000000000001" customHeight="1">
      <c r="A63" s="89" t="str">
        <f>IF(LEN(A30)&gt;0,MAX($A$60:A62)+1,"")</f>
        <v/>
      </c>
      <c r="B63" s="87" t="str">
        <f t="shared" si="1"/>
        <v/>
      </c>
      <c r="C63" s="84"/>
      <c r="D63" s="84"/>
    </row>
    <row r="64" spans="1:15" s="85" customFormat="1" ht="20.100000000000001" customHeight="1">
      <c r="A64" s="89" t="str">
        <f>IF(LEN(A31)&gt;0,MAX($A$60:A63)+1,"")</f>
        <v/>
      </c>
      <c r="B64" s="87" t="str">
        <f t="shared" si="1"/>
        <v/>
      </c>
      <c r="C64" s="84"/>
      <c r="D64" s="84"/>
    </row>
    <row r="65" spans="1:4" s="85" customFormat="1" ht="20.100000000000001" customHeight="1">
      <c r="A65" s="89" t="str">
        <f>IF(LEN(A32)&gt;0,MAX($A$60:A64)+1,"")</f>
        <v/>
      </c>
      <c r="B65" s="87" t="str">
        <f t="shared" si="1"/>
        <v/>
      </c>
      <c r="C65" s="84"/>
      <c r="D65" s="84"/>
    </row>
    <row r="66" spans="1:4" s="85" customFormat="1" ht="20.100000000000001" customHeight="1">
      <c r="A66" s="89" t="str">
        <f>IF(LEN(A33)&gt;0,MAX($A$60:A65)+1,"")</f>
        <v/>
      </c>
      <c r="B66" s="87" t="str">
        <f t="shared" si="1"/>
        <v/>
      </c>
      <c r="C66" s="84"/>
      <c r="D66" s="84"/>
    </row>
    <row r="67" spans="1:4" s="85" customFormat="1" ht="20.100000000000001" customHeight="1">
      <c r="A67" s="89" t="str">
        <f>IF(LEN(A34)&gt;0,MAX($A$60:A66)+1,"")</f>
        <v/>
      </c>
      <c r="B67" s="87" t="str">
        <f t="shared" si="1"/>
        <v/>
      </c>
      <c r="C67" s="84"/>
      <c r="D67" s="84"/>
    </row>
    <row r="68" spans="1:4" s="85" customFormat="1" ht="20.100000000000001" customHeight="1">
      <c r="A68" s="89" t="str">
        <f>IF(LEN(A35)&gt;0,MAX($A$60:A67)+1,"")</f>
        <v/>
      </c>
      <c r="B68" s="87" t="str">
        <f t="shared" si="1"/>
        <v/>
      </c>
      <c r="C68" s="84"/>
      <c r="D68" s="84"/>
    </row>
    <row r="69" spans="1:4" s="85" customFormat="1" ht="20.100000000000001" customHeight="1">
      <c r="A69" s="89" t="str">
        <f>IF(LEN(A36)&gt;0,MAX($A$60:A68)+1,"")</f>
        <v/>
      </c>
      <c r="B69" s="87" t="str">
        <f t="shared" si="1"/>
        <v/>
      </c>
      <c r="C69" s="84"/>
      <c r="D69" s="84"/>
    </row>
    <row r="70" spans="1:4" s="85" customFormat="1" ht="20.100000000000001" customHeight="1">
      <c r="A70" s="89" t="str">
        <f>IF(LEN(A37)&gt;0,MAX($A$60:A69)+1,"")</f>
        <v/>
      </c>
      <c r="B70" s="87" t="str">
        <f t="shared" si="1"/>
        <v/>
      </c>
      <c r="C70" s="84"/>
      <c r="D70" s="84"/>
    </row>
    <row r="71" spans="1:4" s="85" customFormat="1" ht="20.100000000000001" customHeight="1">
      <c r="A71" s="89" t="str">
        <f>IF(LEN(A38)&gt;0,MAX($A$60:A70)+1,"")</f>
        <v/>
      </c>
      <c r="B71" s="87" t="str">
        <f t="shared" si="1"/>
        <v/>
      </c>
      <c r="C71" s="84"/>
      <c r="D71" s="84"/>
    </row>
    <row r="72" spans="1:4" s="85" customFormat="1" ht="20.100000000000001" customHeight="1">
      <c r="A72" s="89" t="str">
        <f>IF(LEN(A39)&gt;0,MAX($A$60:A71)+1,"")</f>
        <v/>
      </c>
      <c r="B72" s="87" t="str">
        <f t="shared" si="1"/>
        <v/>
      </c>
      <c r="C72" s="84"/>
      <c r="D72" s="84"/>
    </row>
    <row r="73" spans="1:4" s="85" customFormat="1" ht="20.100000000000001" customHeight="1">
      <c r="A73" s="89" t="str">
        <f>IF(LEN(A40)&gt;0,MAX($A$60:A72)+1,"")</f>
        <v/>
      </c>
      <c r="B73" s="87" t="str">
        <f t="shared" si="1"/>
        <v/>
      </c>
      <c r="C73" s="84"/>
      <c r="D73" s="84"/>
    </row>
    <row r="74" spans="1:4" s="85" customFormat="1" ht="20.100000000000001" customHeight="1">
      <c r="A74" s="89" t="str">
        <f>IF(LEN(A41)&gt;0,MAX($A$60:A73)+1,"")</f>
        <v/>
      </c>
      <c r="B74" s="87" t="str">
        <f t="shared" si="1"/>
        <v/>
      </c>
      <c r="C74" s="84"/>
      <c r="D74" s="84"/>
    </row>
    <row r="75" spans="1:4" s="85" customFormat="1" ht="20.100000000000001" customHeight="1">
      <c r="A75" s="89" t="str">
        <f>IF(LEN(A42)&gt;0,MAX($A$60:A74)+1,"")</f>
        <v/>
      </c>
      <c r="B75" s="87" t="str">
        <f t="shared" si="1"/>
        <v/>
      </c>
      <c r="C75" s="84"/>
      <c r="D75" s="84"/>
    </row>
    <row r="76" spans="1:4" s="85" customFormat="1" ht="20.100000000000001" customHeight="1">
      <c r="A76" s="89" t="str">
        <f>IF(LEN(A43)&gt;0,MAX($A$60:A75)+1,"")</f>
        <v/>
      </c>
      <c r="B76" s="87" t="str">
        <f t="shared" ref="B76:B79" si="2">IF(LEN(A43)&gt;0,A43,"")</f>
        <v/>
      </c>
      <c r="C76" s="84"/>
      <c r="D76" s="84"/>
    </row>
    <row r="77" spans="1:4" s="85" customFormat="1" ht="20.100000000000001" customHeight="1">
      <c r="A77" s="89" t="str">
        <f>IF(LEN(A44)&gt;0,MAX($A$60:A76)+1,"")</f>
        <v/>
      </c>
      <c r="B77" s="87" t="str">
        <f t="shared" si="2"/>
        <v/>
      </c>
      <c r="C77" s="84"/>
      <c r="D77" s="84"/>
    </row>
    <row r="78" spans="1:4" s="85" customFormat="1" ht="20.100000000000001" customHeight="1">
      <c r="A78" s="89" t="str">
        <f>IF(LEN(A45)&gt;0,MAX($A$60:A77)+1,"")</f>
        <v/>
      </c>
      <c r="B78" s="87" t="str">
        <f t="shared" si="2"/>
        <v/>
      </c>
      <c r="C78" s="84"/>
      <c r="D78" s="84"/>
    </row>
    <row r="79" spans="1:4" s="85" customFormat="1" ht="20.100000000000001" customHeight="1">
      <c r="A79" s="89" t="str">
        <f>IF(LEN(A46)&gt;0,MAX($A$60:A78)+1,"")</f>
        <v/>
      </c>
      <c r="B79" s="87" t="str">
        <f t="shared" si="2"/>
        <v/>
      </c>
      <c r="C79" s="84"/>
      <c r="D79" s="84"/>
    </row>
    <row r="80" spans="1:4" s="85" customFormat="1" ht="20.100000000000001" customHeight="1">
      <c r="A80" s="90">
        <f>IF(LEN(B27)&gt;0,MAX($A$60:A79)+1,"")</f>
        <v>8</v>
      </c>
      <c r="B80" s="87" t="str">
        <f>IF(LEN(B27)&gt;0,B27,"")</f>
        <v>여름수련회</v>
      </c>
      <c r="C80" s="84">
        <f>IF(SUM(A80:A99)&gt;0,MIN(A80:A99))</f>
        <v>8</v>
      </c>
      <c r="D80" s="88" t="str">
        <f>IF(SUM(A80:A99)&gt;0,B26)</f>
        <v>여름수련회</v>
      </c>
    </row>
    <row r="81" spans="1:5" s="85" customFormat="1" ht="20.100000000000001" customHeight="1">
      <c r="A81" s="90" t="str">
        <f>IF(LEN(B28)&gt;0,MAX($A$60:A80)+1,"")</f>
        <v/>
      </c>
      <c r="B81" s="87" t="str">
        <f>IF(LEN(B28)&gt;0,B28,"")</f>
        <v/>
      </c>
      <c r="C81" s="84"/>
      <c r="D81" s="84"/>
    </row>
    <row r="82" spans="1:5" s="85" customFormat="1" ht="20.100000000000001" customHeight="1">
      <c r="A82" s="90" t="str">
        <f>IF(LEN(B29)&gt;0,MAX($A$60:A81)+1,"")</f>
        <v/>
      </c>
      <c r="B82" s="87" t="str">
        <f t="shared" ref="B82:B99" si="3">IF(LEN(B29)&gt;0,B29,"")</f>
        <v/>
      </c>
      <c r="C82" s="84"/>
      <c r="D82" s="84"/>
    </row>
    <row r="83" spans="1:5" s="85" customFormat="1" ht="20.100000000000001" customHeight="1">
      <c r="A83" s="90" t="str">
        <f>IF(LEN(B30)&gt;0,MAX($A$60:A82)+1,"")</f>
        <v/>
      </c>
      <c r="B83" s="87" t="str">
        <f t="shared" si="3"/>
        <v/>
      </c>
      <c r="C83" s="84"/>
      <c r="D83" s="84"/>
    </row>
    <row r="84" spans="1:5" s="85" customFormat="1" ht="20.100000000000001" customHeight="1">
      <c r="A84" s="90" t="str">
        <f>IF(LEN(B31)&gt;0,MAX($A$60:A83)+1,"")</f>
        <v/>
      </c>
      <c r="B84" s="87" t="str">
        <f t="shared" si="3"/>
        <v/>
      </c>
      <c r="C84" s="84"/>
      <c r="D84" s="84"/>
    </row>
    <row r="85" spans="1:5" s="85" customFormat="1" ht="20.100000000000001" customHeight="1">
      <c r="A85" s="90" t="str">
        <f>IF(LEN(B32)&gt;0,MAX($A$60:A84)+1,"")</f>
        <v/>
      </c>
      <c r="B85" s="87" t="str">
        <f t="shared" si="3"/>
        <v/>
      </c>
      <c r="C85" s="84"/>
      <c r="D85" s="84"/>
    </row>
    <row r="86" spans="1:5" s="85" customFormat="1" ht="20.100000000000001" customHeight="1">
      <c r="A86" s="90" t="str">
        <f>IF(LEN(B33)&gt;0,MAX($A$60:A85)+1,"")</f>
        <v/>
      </c>
      <c r="B86" s="87" t="str">
        <f t="shared" si="3"/>
        <v/>
      </c>
      <c r="C86" s="84"/>
      <c r="D86" s="84"/>
    </row>
    <row r="87" spans="1:5" s="85" customFormat="1" ht="20.100000000000001" customHeight="1">
      <c r="A87" s="90" t="str">
        <f>IF(LEN(B34)&gt;0,MAX($A$60:A86)+1,"")</f>
        <v/>
      </c>
      <c r="B87" s="87" t="str">
        <f t="shared" si="3"/>
        <v/>
      </c>
      <c r="C87" s="84"/>
      <c r="D87" s="84"/>
    </row>
    <row r="88" spans="1:5" s="85" customFormat="1" ht="20.100000000000001" customHeight="1">
      <c r="A88" s="90" t="str">
        <f>IF(LEN(B35)&gt;0,MAX($A$60:A87)+1,"")</f>
        <v/>
      </c>
      <c r="B88" s="87" t="str">
        <f t="shared" si="3"/>
        <v/>
      </c>
      <c r="C88" s="84"/>
      <c r="D88" s="84"/>
    </row>
    <row r="89" spans="1:5" s="85" customFormat="1" ht="20.100000000000001" customHeight="1">
      <c r="A89" s="90" t="str">
        <f>IF(LEN(B36)&gt;0,MAX($A$60:A88)+1,"")</f>
        <v/>
      </c>
      <c r="B89" s="87" t="str">
        <f t="shared" si="3"/>
        <v/>
      </c>
      <c r="C89" s="84"/>
      <c r="D89" s="84"/>
    </row>
    <row r="90" spans="1:5" s="85" customFormat="1" ht="20.100000000000001" customHeight="1">
      <c r="A90" s="90" t="str">
        <f>IF(LEN(B37)&gt;0,MAX($A$60:A89)+1,"")</f>
        <v/>
      </c>
      <c r="B90" s="87" t="str">
        <f t="shared" si="3"/>
        <v/>
      </c>
      <c r="C90" s="84"/>
      <c r="D90" s="84"/>
    </row>
    <row r="91" spans="1:5" s="85" customFormat="1" ht="20.100000000000001" customHeight="1">
      <c r="A91" s="90" t="str">
        <f>IF(LEN(B38)&gt;0,MAX($A$60:A90)+1,"")</f>
        <v/>
      </c>
      <c r="B91" s="87" t="str">
        <f t="shared" si="3"/>
        <v/>
      </c>
      <c r="C91" s="84"/>
      <c r="D91" s="84"/>
    </row>
    <row r="92" spans="1:5" s="85" customFormat="1" ht="20.100000000000001" customHeight="1">
      <c r="A92" s="90" t="str">
        <f>IF(LEN(B39)&gt;0,MAX($A$60:A91)+1,"")</f>
        <v/>
      </c>
      <c r="B92" s="87" t="str">
        <f t="shared" si="3"/>
        <v/>
      </c>
      <c r="C92" s="84"/>
      <c r="D92" s="84"/>
    </row>
    <row r="93" spans="1:5" s="85" customFormat="1" ht="20.100000000000001" customHeight="1">
      <c r="A93" s="90" t="str">
        <f>IF(LEN(B40)&gt;0,MAX($A$60:A92)+1,"")</f>
        <v/>
      </c>
      <c r="B93" s="87" t="str">
        <f t="shared" si="3"/>
        <v/>
      </c>
      <c r="C93" s="84"/>
      <c r="D93" s="84"/>
    </row>
    <row r="94" spans="1:5" s="85" customFormat="1" ht="20.100000000000001" customHeight="1">
      <c r="A94" s="90" t="str">
        <f>IF(LEN(B41)&gt;0,MAX($A$60:A93)+1,"")</f>
        <v/>
      </c>
      <c r="B94" s="87" t="str">
        <f t="shared" si="3"/>
        <v/>
      </c>
      <c r="C94" s="84"/>
      <c r="D94" s="84"/>
    </row>
    <row r="95" spans="1:5" s="85" customFormat="1" ht="20.100000000000001" customHeight="1">
      <c r="A95" s="90" t="str">
        <f>IF(LEN(B42)&gt;0,MAX($A$60:A94)+1,"")</f>
        <v/>
      </c>
      <c r="B95" s="87" t="str">
        <f t="shared" si="3"/>
        <v/>
      </c>
      <c r="C95" s="84"/>
      <c r="D95" s="84"/>
    </row>
    <row r="96" spans="1:5" ht="20.100000000000001" customHeight="1">
      <c r="A96" s="90" t="str">
        <f>IF(LEN(B43)&gt;0,MAX($A$60:A95)+1,"")</f>
        <v/>
      </c>
      <c r="B96" s="87" t="str">
        <f t="shared" si="3"/>
        <v/>
      </c>
      <c r="C96" s="84"/>
      <c r="D96" s="83"/>
      <c r="E96" s="78"/>
    </row>
    <row r="97" spans="1:5" ht="20.100000000000001" customHeight="1">
      <c r="A97" s="90" t="str">
        <f>IF(LEN(B44)&gt;0,MAX($A$60:A96)+1,"")</f>
        <v/>
      </c>
      <c r="B97" s="87" t="str">
        <f t="shared" si="3"/>
        <v/>
      </c>
      <c r="C97" s="84"/>
      <c r="D97" s="83"/>
      <c r="E97" s="78"/>
    </row>
    <row r="98" spans="1:5" ht="20.100000000000001" customHeight="1">
      <c r="A98" s="90" t="str">
        <f>IF(LEN(B45)&gt;0,MAX($A$60:A97)+1,"")</f>
        <v/>
      </c>
      <c r="B98" s="87" t="str">
        <f t="shared" si="3"/>
        <v/>
      </c>
      <c r="C98" s="84"/>
      <c r="D98" s="83"/>
      <c r="E98" s="78"/>
    </row>
    <row r="99" spans="1:5" ht="20.100000000000001" customHeight="1">
      <c r="A99" s="90" t="str">
        <f>IF(LEN(B46)&gt;0,MAX($A$60:A98)+1,"")</f>
        <v/>
      </c>
      <c r="B99" s="87" t="str">
        <f t="shared" si="3"/>
        <v/>
      </c>
      <c r="C99" s="84"/>
      <c r="D99" s="83"/>
      <c r="E99" s="78"/>
    </row>
    <row r="100" spans="1:5" ht="20.100000000000001" customHeight="1">
      <c r="A100" s="90">
        <f>IF(LEN(C27)&gt;0,MAX($A$60:A99)+1,"")</f>
        <v>9</v>
      </c>
      <c r="B100" s="87" t="str">
        <f>IF(LEN(C27)&gt;0,C27,"")</f>
        <v>찬양축제</v>
      </c>
      <c r="C100" s="84">
        <f>IF(SUM(A100:A119)&gt;0,MIN(A100:A119))</f>
        <v>9</v>
      </c>
      <c r="D100" s="88" t="str">
        <f>IF(SUM(A100:A117)&gt;0,C26)</f>
        <v>찬양축제/신년기도회</v>
      </c>
      <c r="E100" s="78"/>
    </row>
    <row r="101" spans="1:5" ht="20.100000000000001" customHeight="1">
      <c r="A101" s="90">
        <f>IF(LEN(C28)&gt;0,MAX($A$60:A100)+1,"")</f>
        <v>10</v>
      </c>
      <c r="B101" s="87" t="str">
        <f>IF(LEN(C28)&gt;0,C28,"")</f>
        <v>신년기도회</v>
      </c>
      <c r="C101" s="84"/>
      <c r="D101" s="83"/>
      <c r="E101" s="78"/>
    </row>
    <row r="102" spans="1:5" ht="20.100000000000001" customHeight="1">
      <c r="A102" s="90" t="str">
        <f>IF(LEN(C29)&gt;0,MAX($A$60:A101)+1,"")</f>
        <v/>
      </c>
      <c r="B102" s="87" t="str">
        <f t="shared" ref="B102:B119" si="4">IF(LEN(C29)&gt;0,C29,"")</f>
        <v/>
      </c>
      <c r="C102" s="84"/>
      <c r="D102" s="83"/>
      <c r="E102" s="78"/>
    </row>
    <row r="103" spans="1:5" ht="20.100000000000001" customHeight="1">
      <c r="A103" s="90" t="str">
        <f>IF(LEN(C30)&gt;0,MAX($A$60:A102)+1,"")</f>
        <v/>
      </c>
      <c r="B103" s="87" t="str">
        <f t="shared" si="4"/>
        <v/>
      </c>
      <c r="C103" s="84"/>
      <c r="D103" s="83"/>
      <c r="E103" s="78"/>
    </row>
    <row r="104" spans="1:5" ht="20.100000000000001" customHeight="1">
      <c r="A104" s="90" t="str">
        <f>IF(LEN(C31)&gt;0,MAX($A$60:A103)+1,"")</f>
        <v/>
      </c>
      <c r="B104" s="87" t="str">
        <f t="shared" si="4"/>
        <v/>
      </c>
      <c r="C104" s="84"/>
      <c r="D104" s="83"/>
      <c r="E104" s="78"/>
    </row>
    <row r="105" spans="1:5" ht="20.100000000000001" customHeight="1">
      <c r="A105" s="90" t="str">
        <f>IF(LEN(C32)&gt;0,MAX($A$60:A104)+1,"")</f>
        <v/>
      </c>
      <c r="B105" s="87" t="str">
        <f t="shared" si="4"/>
        <v/>
      </c>
      <c r="C105" s="84"/>
      <c r="D105" s="83"/>
      <c r="E105" s="78"/>
    </row>
    <row r="106" spans="1:5" ht="20.100000000000001" customHeight="1">
      <c r="A106" s="90" t="str">
        <f>IF(LEN(C33)&gt;0,MAX($A$60:A105)+1,"")</f>
        <v/>
      </c>
      <c r="B106" s="87" t="str">
        <f t="shared" si="4"/>
        <v/>
      </c>
      <c r="C106" s="84"/>
      <c r="D106" s="83"/>
      <c r="E106" s="78"/>
    </row>
    <row r="107" spans="1:5" ht="20.100000000000001" customHeight="1">
      <c r="A107" s="90" t="str">
        <f>IF(LEN(C34)&gt;0,MAX($A$60:A106)+1,"")</f>
        <v/>
      </c>
      <c r="B107" s="87" t="str">
        <f t="shared" si="4"/>
        <v/>
      </c>
      <c r="C107" s="84"/>
      <c r="D107" s="83"/>
      <c r="E107" s="78"/>
    </row>
    <row r="108" spans="1:5" ht="20.100000000000001" customHeight="1">
      <c r="A108" s="90" t="str">
        <f>IF(LEN(C35)&gt;0,MAX($A$60:A107)+1,"")</f>
        <v/>
      </c>
      <c r="B108" s="87" t="str">
        <f t="shared" si="4"/>
        <v/>
      </c>
      <c r="C108" s="84"/>
      <c r="D108" s="83"/>
      <c r="E108" s="78"/>
    </row>
    <row r="109" spans="1:5" ht="20.100000000000001" customHeight="1">
      <c r="A109" s="90" t="str">
        <f>IF(LEN(C36)&gt;0,MAX($A$60:A108)+1,"")</f>
        <v/>
      </c>
      <c r="B109" s="87" t="str">
        <f t="shared" si="4"/>
        <v/>
      </c>
      <c r="C109" s="84"/>
      <c r="D109" s="83"/>
      <c r="E109" s="78"/>
    </row>
    <row r="110" spans="1:5" ht="20.100000000000001" customHeight="1">
      <c r="A110" s="90" t="str">
        <f>IF(LEN(C37)&gt;0,MAX($A$60:A109)+1,"")</f>
        <v/>
      </c>
      <c r="B110" s="87" t="str">
        <f t="shared" si="4"/>
        <v/>
      </c>
      <c r="C110" s="84"/>
      <c r="D110" s="83"/>
      <c r="E110" s="78"/>
    </row>
    <row r="111" spans="1:5" ht="20.100000000000001" customHeight="1">
      <c r="A111" s="90" t="str">
        <f>IF(LEN(C38)&gt;0,MAX($A$60:A110)+1,"")</f>
        <v/>
      </c>
      <c r="B111" s="87" t="str">
        <f t="shared" si="4"/>
        <v/>
      </c>
      <c r="C111" s="84"/>
      <c r="D111" s="83"/>
      <c r="E111" s="78"/>
    </row>
    <row r="112" spans="1:5" ht="20.100000000000001" customHeight="1">
      <c r="A112" s="90" t="str">
        <f>IF(LEN(C39)&gt;0,MAX($A$60:A111)+1,"")</f>
        <v/>
      </c>
      <c r="B112" s="87" t="str">
        <f t="shared" si="4"/>
        <v/>
      </c>
      <c r="C112" s="84"/>
      <c r="D112" s="83"/>
      <c r="E112" s="78"/>
    </row>
    <row r="113" spans="1:12" ht="20.100000000000001" customHeight="1">
      <c r="A113" s="90" t="str">
        <f>IF(LEN(C40)&gt;0,MAX($A$60:A112)+1,"")</f>
        <v/>
      </c>
      <c r="B113" s="87" t="str">
        <f t="shared" si="4"/>
        <v/>
      </c>
      <c r="C113" s="84"/>
      <c r="D113" s="83"/>
      <c r="E113" s="78"/>
    </row>
    <row r="114" spans="1:12" ht="20.100000000000001" customHeight="1">
      <c r="A114" s="90" t="str">
        <f>IF(LEN(C41)&gt;0,MAX($A$60:A113)+1,"")</f>
        <v/>
      </c>
      <c r="B114" s="87" t="str">
        <f t="shared" si="4"/>
        <v/>
      </c>
      <c r="C114" s="84"/>
      <c r="D114" s="83"/>
      <c r="E114" s="78"/>
    </row>
    <row r="115" spans="1:12" ht="20.100000000000001" customHeight="1">
      <c r="A115" s="90" t="str">
        <f>IF(LEN(C42)&gt;0,MAX($A$60:A114)+1,"")</f>
        <v/>
      </c>
      <c r="B115" s="87" t="str">
        <f t="shared" si="4"/>
        <v/>
      </c>
      <c r="C115" s="84"/>
      <c r="D115" s="83"/>
      <c r="E115" s="78"/>
    </row>
    <row r="116" spans="1:12" ht="20.100000000000001" customHeight="1">
      <c r="A116" s="90" t="str">
        <f>IF(LEN(C43)&gt;0,MAX($A$60:A115)+1,"")</f>
        <v/>
      </c>
      <c r="B116" s="87" t="str">
        <f t="shared" si="4"/>
        <v/>
      </c>
      <c r="C116" s="84"/>
      <c r="D116" s="83"/>
      <c r="E116" s="78"/>
    </row>
    <row r="117" spans="1:12" s="81" customFormat="1" ht="20.100000000000001" customHeight="1">
      <c r="A117" s="90" t="str">
        <f>IF(LEN(C44)&gt;0,MAX($A$60:A116)+1,"")</f>
        <v/>
      </c>
      <c r="B117" s="87" t="str">
        <f t="shared" si="4"/>
        <v/>
      </c>
      <c r="C117" s="84"/>
      <c r="D117" s="83"/>
      <c r="F117" s="91"/>
      <c r="G117" s="91"/>
      <c r="H117" s="91"/>
      <c r="I117" s="91"/>
      <c r="J117" s="91"/>
      <c r="K117" s="91"/>
      <c r="L117" s="91"/>
    </row>
    <row r="118" spans="1:12" s="81" customFormat="1" ht="20.100000000000001" customHeight="1">
      <c r="A118" s="90" t="str">
        <f>IF(LEN(C45)&gt;0,MAX($A$60:A117)+1,"")</f>
        <v/>
      </c>
      <c r="B118" s="87" t="str">
        <f t="shared" si="4"/>
        <v/>
      </c>
      <c r="C118" s="84"/>
      <c r="D118" s="83"/>
      <c r="F118" s="91"/>
      <c r="G118" s="91"/>
      <c r="H118" s="91"/>
      <c r="I118" s="91"/>
      <c r="J118" s="91"/>
      <c r="K118" s="91"/>
      <c r="L118" s="91"/>
    </row>
    <row r="119" spans="1:12" s="81" customFormat="1" ht="20.100000000000001" customHeight="1">
      <c r="A119" s="90" t="str">
        <f>IF(LEN(C46)&gt;0,MAX($A$60:A118)+1,"")</f>
        <v/>
      </c>
      <c r="B119" s="87" t="str">
        <f t="shared" si="4"/>
        <v/>
      </c>
      <c r="C119" s="84"/>
      <c r="D119" s="83"/>
      <c r="F119" s="91"/>
      <c r="G119" s="91"/>
      <c r="H119" s="91"/>
      <c r="I119" s="91"/>
      <c r="J119" s="91"/>
      <c r="K119" s="91"/>
      <c r="L119" s="91"/>
    </row>
    <row r="120" spans="1:12" ht="20.100000000000001" customHeight="1">
      <c r="A120" s="90">
        <f>IF(LEN(D27)&gt;0,MAX($A$60:A119)+1,"")</f>
        <v>11</v>
      </c>
      <c r="B120" s="87" t="str">
        <f>IF(LEN(D27)&gt;0,D27,"")</f>
        <v>새가족환영회</v>
      </c>
      <c r="C120" s="84">
        <f>IF(SUM(A120:A133)&gt;0,MIN(A120:A133))</f>
        <v>11</v>
      </c>
      <c r="D120" s="88" t="str">
        <f>IF(SUM(A120:A133)&gt;0,D26)</f>
        <v>새가족환영회</v>
      </c>
      <c r="E120" s="84"/>
    </row>
    <row r="121" spans="1:12" ht="20.100000000000001" customHeight="1">
      <c r="A121" s="90" t="str">
        <f>IF(LEN(D28)&gt;0,MAX($A$60:A120)+1,"")</f>
        <v/>
      </c>
      <c r="B121" s="87" t="str">
        <f>IF(LEN(D28)&gt;0,D28,"")</f>
        <v/>
      </c>
      <c r="C121" s="84"/>
      <c r="D121" s="83"/>
      <c r="E121" s="84"/>
    </row>
    <row r="122" spans="1:12" ht="20.100000000000001" customHeight="1">
      <c r="A122" s="90" t="str">
        <f>IF(LEN(D29)&gt;0,MAX($A$60:A121)+1,"")</f>
        <v/>
      </c>
      <c r="B122" s="87" t="str">
        <f t="shared" ref="B122:B139" si="5">IF(LEN(D29)&gt;0,D29,"")</f>
        <v/>
      </c>
      <c r="C122" s="84"/>
      <c r="D122" s="83"/>
      <c r="E122" s="84"/>
    </row>
    <row r="123" spans="1:12" ht="20.100000000000001" customHeight="1">
      <c r="A123" s="90" t="str">
        <f>IF(LEN(D30)&gt;0,MAX($A$60:A122)+1,"")</f>
        <v/>
      </c>
      <c r="B123" s="87" t="str">
        <f t="shared" si="5"/>
        <v/>
      </c>
      <c r="C123" s="84"/>
      <c r="D123" s="83"/>
      <c r="E123" s="84"/>
    </row>
    <row r="124" spans="1:12" ht="20.100000000000001" customHeight="1">
      <c r="A124" s="90" t="str">
        <f>IF(LEN(D31)&gt;0,MAX($A$60:A123)+1,"")</f>
        <v/>
      </c>
      <c r="B124" s="87" t="str">
        <f t="shared" si="5"/>
        <v/>
      </c>
      <c r="C124" s="84"/>
      <c r="D124" s="83"/>
      <c r="E124" s="84"/>
    </row>
    <row r="125" spans="1:12" ht="20.100000000000001" customHeight="1">
      <c r="A125" s="90" t="str">
        <f>IF(LEN(D32)&gt;0,MAX($A$60:A124)+1,"")</f>
        <v/>
      </c>
      <c r="B125" s="87" t="str">
        <f t="shared" si="5"/>
        <v/>
      </c>
      <c r="C125" s="84"/>
      <c r="D125" s="83"/>
      <c r="E125" s="84"/>
    </row>
    <row r="126" spans="1:12" ht="20.100000000000001" customHeight="1">
      <c r="A126" s="90" t="str">
        <f>IF(LEN(D33)&gt;0,MAX($A$60:A125)+1,"")</f>
        <v/>
      </c>
      <c r="B126" s="87" t="str">
        <f t="shared" si="5"/>
        <v/>
      </c>
      <c r="C126" s="84"/>
      <c r="D126" s="83"/>
      <c r="E126" s="84"/>
    </row>
    <row r="127" spans="1:12" ht="20.100000000000001" customHeight="1">
      <c r="A127" s="90" t="str">
        <f>IF(LEN(D34)&gt;0,MAX($A$60:A126)+1,"")</f>
        <v/>
      </c>
      <c r="B127" s="87" t="str">
        <f t="shared" si="5"/>
        <v/>
      </c>
      <c r="C127" s="84"/>
      <c r="D127" s="83"/>
      <c r="E127" s="84"/>
    </row>
    <row r="128" spans="1:12" ht="20.100000000000001" customHeight="1">
      <c r="A128" s="90" t="str">
        <f>IF(LEN(D35)&gt;0,MAX($A$60:A127)+1,"")</f>
        <v/>
      </c>
      <c r="B128" s="87" t="str">
        <f t="shared" si="5"/>
        <v/>
      </c>
      <c r="C128" s="84"/>
      <c r="D128" s="83"/>
      <c r="E128" s="84"/>
    </row>
    <row r="129" spans="1:12" ht="20.100000000000001" customHeight="1">
      <c r="A129" s="90" t="str">
        <f>IF(LEN(D36)&gt;0,MAX($A$60:A128)+1,"")</f>
        <v/>
      </c>
      <c r="B129" s="87" t="str">
        <f t="shared" si="5"/>
        <v/>
      </c>
      <c r="C129" s="84"/>
      <c r="D129" s="83"/>
      <c r="E129" s="84"/>
    </row>
    <row r="130" spans="1:12" ht="20.100000000000001" customHeight="1">
      <c r="A130" s="90" t="str">
        <f>IF(LEN(D37)&gt;0,MAX($A$60:A129)+1,"")</f>
        <v/>
      </c>
      <c r="B130" s="87" t="str">
        <f t="shared" si="5"/>
        <v/>
      </c>
      <c r="C130" s="84"/>
      <c r="D130" s="83"/>
      <c r="E130" s="84"/>
    </row>
    <row r="131" spans="1:12" s="81" customFormat="1" ht="20.100000000000001" customHeight="1">
      <c r="A131" s="90" t="str">
        <f>IF(LEN(D38)&gt;0,MAX($A$60:A130)+1,"")</f>
        <v/>
      </c>
      <c r="B131" s="87" t="str">
        <f t="shared" si="5"/>
        <v/>
      </c>
      <c r="C131" s="84"/>
      <c r="D131" s="83"/>
      <c r="E131" s="84"/>
      <c r="F131" s="91"/>
      <c r="G131" s="91"/>
      <c r="H131" s="91"/>
      <c r="I131" s="91"/>
      <c r="J131" s="91"/>
      <c r="K131" s="91"/>
      <c r="L131" s="91"/>
    </row>
    <row r="132" spans="1:12" ht="20.100000000000001" customHeight="1">
      <c r="A132" s="90" t="str">
        <f>IF(LEN(D39)&gt;0,MAX($A$60:A131)+1,"")</f>
        <v/>
      </c>
      <c r="B132" s="87" t="str">
        <f t="shared" si="5"/>
        <v/>
      </c>
      <c r="C132" s="84"/>
      <c r="D132" s="83"/>
      <c r="E132" s="84"/>
    </row>
    <row r="133" spans="1:12" ht="20.100000000000001" customHeight="1">
      <c r="A133" s="90" t="str">
        <f>IF(LEN(D40)&gt;0,MAX($A$60:A132)+1,"")</f>
        <v/>
      </c>
      <c r="B133" s="87" t="str">
        <f t="shared" si="5"/>
        <v/>
      </c>
      <c r="C133" s="84"/>
      <c r="D133" s="83"/>
      <c r="E133" s="84"/>
    </row>
    <row r="134" spans="1:12" ht="20.100000000000001" customHeight="1">
      <c r="A134" s="90" t="str">
        <f>IF(LEN(D41)&gt;0,MAX($A$60:A133)+1,"")</f>
        <v/>
      </c>
      <c r="B134" s="87" t="str">
        <f t="shared" si="5"/>
        <v/>
      </c>
      <c r="C134" s="84"/>
      <c r="D134" s="83"/>
      <c r="E134" s="84"/>
    </row>
    <row r="135" spans="1:12" s="81" customFormat="1" ht="20.100000000000001" customHeight="1">
      <c r="A135" s="90" t="str">
        <f>IF(LEN(D42)&gt;0,MAX($A$60:A134)+1,"")</f>
        <v/>
      </c>
      <c r="B135" s="87" t="str">
        <f t="shared" si="5"/>
        <v/>
      </c>
      <c r="C135" s="84"/>
      <c r="D135" s="83"/>
      <c r="E135" s="84"/>
      <c r="F135" s="91"/>
      <c r="G135" s="91"/>
      <c r="H135" s="91"/>
      <c r="I135" s="91"/>
      <c r="J135" s="91"/>
      <c r="K135" s="91"/>
      <c r="L135" s="91"/>
    </row>
    <row r="136" spans="1:12" ht="20.100000000000001" customHeight="1">
      <c r="A136" s="90" t="str">
        <f>IF(LEN(D43)&gt;0,MAX($A$60:A135)+1,"")</f>
        <v/>
      </c>
      <c r="B136" s="87" t="str">
        <f>IF(LEN(D43)&gt;0,D43,"")</f>
        <v/>
      </c>
      <c r="C136" s="84"/>
      <c r="D136" s="83"/>
      <c r="E136" s="84"/>
    </row>
    <row r="137" spans="1:12" ht="20.100000000000001" customHeight="1">
      <c r="A137" s="90" t="str">
        <f>IF(LEN(D44)&gt;0,MAX($A$60:A136)+1,"")</f>
        <v/>
      </c>
      <c r="B137" s="87" t="str">
        <f t="shared" si="5"/>
        <v/>
      </c>
      <c r="C137" s="84"/>
      <c r="D137" s="83"/>
      <c r="E137" s="84"/>
    </row>
    <row r="138" spans="1:12" ht="20.100000000000001" customHeight="1">
      <c r="A138" s="90" t="str">
        <f>IF(LEN(D45)&gt;0,MAX($A$60:A137)+1,"")</f>
        <v/>
      </c>
      <c r="B138" s="87" t="str">
        <f t="shared" si="5"/>
        <v/>
      </c>
      <c r="C138" s="84"/>
      <c r="D138" s="83"/>
      <c r="E138" s="84"/>
    </row>
    <row r="139" spans="1:12" ht="20.100000000000001" customHeight="1">
      <c r="A139" s="90" t="str">
        <f>IF(LEN(D46)&gt;0,MAX($A$60:A138)+1,"")</f>
        <v/>
      </c>
      <c r="B139" s="87" t="str">
        <f t="shared" si="5"/>
        <v/>
      </c>
      <c r="C139" s="84"/>
      <c r="D139" s="83"/>
      <c r="E139" s="84"/>
    </row>
    <row r="140" spans="1:12" ht="20.100000000000001" customHeight="1">
      <c r="A140" s="90">
        <f>IF(LEN(E27)&gt;0,MAX($A$60:A139)+1,"")</f>
        <v>12</v>
      </c>
      <c r="B140" s="87" t="str">
        <f>IF(LEN(E27)&gt;0,E27,"")</f>
        <v>시상/선물</v>
      </c>
      <c r="C140" s="84">
        <f>IF(SUM(A140:A159)&gt;0,MIN(A140:A159))</f>
        <v>12</v>
      </c>
      <c r="D140" s="88" t="str">
        <f>IF(SUM(A140:A159)&gt;0,E26)</f>
        <v>시상/선물</v>
      </c>
      <c r="E140" s="78"/>
    </row>
    <row r="141" spans="1:12" ht="20.100000000000001" customHeight="1">
      <c r="A141" s="90" t="str">
        <f>IF(LEN(E28)&gt;0,MAX($A$60:A140)+1,"")</f>
        <v/>
      </c>
      <c r="B141" s="87" t="str">
        <f>IF(LEN(E28)&gt;0,E28,"")</f>
        <v/>
      </c>
      <c r="C141" s="84"/>
      <c r="D141" s="83"/>
      <c r="E141" s="78"/>
    </row>
    <row r="142" spans="1:12" ht="20.100000000000001" customHeight="1">
      <c r="A142" s="90" t="str">
        <f>IF(LEN(E29)&gt;0,MAX($A$60:A141)+1,"")</f>
        <v/>
      </c>
      <c r="B142" s="87" t="str">
        <f t="shared" ref="B142:B159" si="6">IF(LEN(E29)&gt;0,E29,"")</f>
        <v/>
      </c>
      <c r="C142" s="84"/>
      <c r="D142" s="83"/>
      <c r="E142" s="78"/>
    </row>
    <row r="143" spans="1:12" ht="20.100000000000001" customHeight="1">
      <c r="A143" s="90" t="str">
        <f>IF(LEN(E30)&gt;0,MAX($A$60:A142)+1,"")</f>
        <v/>
      </c>
      <c r="B143" s="87" t="str">
        <f t="shared" si="6"/>
        <v/>
      </c>
      <c r="C143" s="84"/>
      <c r="D143" s="83"/>
      <c r="E143" s="78"/>
    </row>
    <row r="144" spans="1:12" ht="20.100000000000001" customHeight="1">
      <c r="A144" s="90" t="str">
        <f>IF(LEN(E31)&gt;0,MAX($A$60:A143)+1,"")</f>
        <v/>
      </c>
      <c r="B144" s="87" t="str">
        <f t="shared" si="6"/>
        <v/>
      </c>
      <c r="C144" s="84"/>
      <c r="D144" s="83"/>
      <c r="E144" s="78"/>
    </row>
    <row r="145" spans="1:12" ht="20.100000000000001" customHeight="1">
      <c r="A145" s="90" t="str">
        <f>IF(LEN(E32)&gt;0,MAX($A$60:A144)+1,"")</f>
        <v/>
      </c>
      <c r="B145" s="87" t="str">
        <f t="shared" si="6"/>
        <v/>
      </c>
      <c r="C145" s="84"/>
      <c r="D145" s="83"/>
      <c r="E145" s="78"/>
    </row>
    <row r="146" spans="1:12" ht="20.100000000000001" customHeight="1">
      <c r="A146" s="90" t="str">
        <f>IF(LEN(E33)&gt;0,MAX($A$60:A145)+1,"")</f>
        <v/>
      </c>
      <c r="B146" s="87" t="str">
        <f t="shared" si="6"/>
        <v/>
      </c>
      <c r="C146" s="84"/>
      <c r="D146" s="83"/>
      <c r="E146" s="78"/>
    </row>
    <row r="147" spans="1:12" ht="20.100000000000001" customHeight="1">
      <c r="A147" s="90" t="str">
        <f>IF(LEN(E34)&gt;0,MAX($A$60:A146)+1,"")</f>
        <v/>
      </c>
      <c r="B147" s="87" t="str">
        <f t="shared" si="6"/>
        <v/>
      </c>
      <c r="C147" s="84"/>
      <c r="D147" s="83"/>
      <c r="E147" s="78"/>
    </row>
    <row r="148" spans="1:12" ht="20.100000000000001" customHeight="1">
      <c r="A148" s="90" t="str">
        <f>IF(LEN(E35)&gt;0,MAX($A$60:A147)+1,"")</f>
        <v/>
      </c>
      <c r="B148" s="87" t="str">
        <f t="shared" si="6"/>
        <v/>
      </c>
      <c r="C148" s="84"/>
      <c r="D148" s="83"/>
      <c r="E148" s="78"/>
    </row>
    <row r="149" spans="1:12" ht="20.100000000000001" customHeight="1">
      <c r="A149" s="90" t="str">
        <f>IF(LEN(E36)&gt;0,MAX($A$60:A148)+1,"")</f>
        <v/>
      </c>
      <c r="B149" s="87" t="str">
        <f t="shared" si="6"/>
        <v/>
      </c>
      <c r="C149" s="84"/>
      <c r="D149" s="83"/>
      <c r="E149" s="78"/>
    </row>
    <row r="150" spans="1:12" ht="20.100000000000001" customHeight="1">
      <c r="A150" s="90" t="str">
        <f>IF(LEN(E37)&gt;0,MAX($A$60:A149)+1,"")</f>
        <v/>
      </c>
      <c r="B150" s="87" t="str">
        <f t="shared" si="6"/>
        <v/>
      </c>
      <c r="C150" s="84"/>
      <c r="D150" s="83"/>
      <c r="E150" s="78"/>
    </row>
    <row r="151" spans="1:12" ht="20.100000000000001" customHeight="1">
      <c r="A151" s="90" t="str">
        <f>IF(LEN(E38)&gt;0,MAX($A$60:A150)+1,"")</f>
        <v/>
      </c>
      <c r="B151" s="87" t="str">
        <f t="shared" si="6"/>
        <v/>
      </c>
      <c r="C151" s="84"/>
      <c r="D151" s="83"/>
      <c r="E151" s="78"/>
    </row>
    <row r="152" spans="1:12" ht="20.100000000000001" customHeight="1">
      <c r="A152" s="90" t="str">
        <f>IF(LEN(E39)&gt;0,MAX($A$60:A151)+1,"")</f>
        <v/>
      </c>
      <c r="B152" s="87" t="str">
        <f t="shared" si="6"/>
        <v/>
      </c>
      <c r="C152" s="84"/>
      <c r="D152" s="83"/>
      <c r="E152" s="78"/>
    </row>
    <row r="153" spans="1:12" ht="20.100000000000001" customHeight="1">
      <c r="A153" s="90" t="str">
        <f>IF(LEN(E40)&gt;0,MAX($A$60:A152)+1,"")</f>
        <v/>
      </c>
      <c r="B153" s="87" t="str">
        <f t="shared" si="6"/>
        <v/>
      </c>
      <c r="C153" s="84"/>
      <c r="D153" s="83"/>
      <c r="E153" s="78"/>
    </row>
    <row r="154" spans="1:12" ht="20.100000000000001" customHeight="1">
      <c r="A154" s="90" t="str">
        <f>IF(LEN(E41)&gt;0,MAX($A$60:A153)+1,"")</f>
        <v/>
      </c>
      <c r="B154" s="87" t="str">
        <f t="shared" si="6"/>
        <v/>
      </c>
      <c r="C154" s="84"/>
      <c r="D154" s="83"/>
      <c r="E154" s="78"/>
    </row>
    <row r="155" spans="1:12" ht="20.100000000000001" customHeight="1">
      <c r="A155" s="90" t="str">
        <f>IF(LEN(E42)&gt;0,MAX($A$60:A154)+1,"")</f>
        <v/>
      </c>
      <c r="B155" s="87" t="str">
        <f t="shared" si="6"/>
        <v/>
      </c>
      <c r="C155" s="84"/>
      <c r="D155" s="83"/>
      <c r="E155" s="78"/>
    </row>
    <row r="156" spans="1:12" s="81" customFormat="1" ht="20.100000000000001" customHeight="1">
      <c r="A156" s="90" t="str">
        <f>IF(LEN(E43)&gt;0,MAX($A$60:A155)+1,"")</f>
        <v/>
      </c>
      <c r="B156" s="87" t="str">
        <f t="shared" si="6"/>
        <v/>
      </c>
      <c r="C156" s="84"/>
      <c r="D156" s="83"/>
      <c r="E156" s="77"/>
      <c r="F156" s="91"/>
      <c r="G156" s="91"/>
      <c r="H156" s="91"/>
      <c r="I156" s="91"/>
      <c r="J156" s="91"/>
      <c r="K156" s="91"/>
      <c r="L156" s="91"/>
    </row>
    <row r="157" spans="1:12" s="81" customFormat="1" ht="20.100000000000001" customHeight="1">
      <c r="A157" s="90" t="str">
        <f>IF(LEN(E44)&gt;0,MAX($A$60:A156)+1,"")</f>
        <v/>
      </c>
      <c r="B157" s="87" t="str">
        <f t="shared" si="6"/>
        <v/>
      </c>
      <c r="C157" s="84"/>
      <c r="D157" s="83"/>
      <c r="E157" s="77"/>
      <c r="F157" s="91"/>
      <c r="G157" s="91"/>
      <c r="H157" s="91"/>
      <c r="I157" s="91"/>
      <c r="J157" s="91"/>
      <c r="K157" s="91"/>
      <c r="L157" s="91"/>
    </row>
    <row r="158" spans="1:12" ht="20.100000000000001" customHeight="1">
      <c r="A158" s="90" t="str">
        <f>IF(LEN(E45)&gt;0,MAX($A$60:A157)+1,"")</f>
        <v/>
      </c>
      <c r="B158" s="87" t="str">
        <f t="shared" si="6"/>
        <v/>
      </c>
      <c r="C158" s="84"/>
      <c r="D158" s="83"/>
    </row>
    <row r="159" spans="1:12" ht="20.100000000000001" customHeight="1">
      <c r="A159" s="90" t="str">
        <f>IF(LEN(E46)&gt;0,MAX($A$60:A158)+1,"")</f>
        <v/>
      </c>
      <c r="B159" s="87" t="str">
        <f t="shared" si="6"/>
        <v/>
      </c>
      <c r="C159" s="84"/>
      <c r="D159" s="83"/>
    </row>
    <row r="160" spans="1:12" s="81" customFormat="1" ht="20.100000000000001" customHeight="1">
      <c r="A160" s="90">
        <f>IF(LEN(F27)&gt;0,MAX($A$60:A159)+1,"")</f>
        <v>13</v>
      </c>
      <c r="B160" s="87" t="str">
        <f>IF(LEN(F27)&gt;0,F27,"")</f>
        <v>병문안</v>
      </c>
      <c r="C160" s="84">
        <f>IF(SUM(A160:A179)&gt;0,MIN(A160:A179))</f>
        <v>13</v>
      </c>
      <c r="D160" s="88" t="str">
        <f>IF(SUM(A160:A179)&gt;0,F26)</f>
        <v>심방비</v>
      </c>
      <c r="E160" s="77"/>
      <c r="F160" s="91"/>
      <c r="G160" s="91"/>
      <c r="H160" s="91"/>
      <c r="I160" s="91"/>
      <c r="J160" s="91"/>
      <c r="K160" s="91"/>
      <c r="L160" s="91"/>
    </row>
    <row r="161" spans="1:12" s="81" customFormat="1" ht="20.100000000000001" customHeight="1">
      <c r="A161" s="90">
        <f>IF(LEN(F28)&gt;0,MAX($A$60:A160)+1,"")</f>
        <v>14</v>
      </c>
      <c r="B161" s="87" t="str">
        <f t="shared" ref="B161:B175" si="7">IF(LEN(F28)&gt;0,F28,"")</f>
        <v>경조사비</v>
      </c>
      <c r="C161" s="84"/>
      <c r="D161" s="88"/>
      <c r="E161" s="77"/>
      <c r="F161" s="91"/>
      <c r="G161" s="91"/>
      <c r="H161" s="91"/>
      <c r="I161" s="91"/>
      <c r="J161" s="91"/>
      <c r="K161" s="91"/>
      <c r="L161" s="91"/>
    </row>
    <row r="162" spans="1:12" s="81" customFormat="1" ht="20.100000000000001" customHeight="1">
      <c r="A162" s="90" t="str">
        <f>IF(LEN(F29)&gt;0,MAX($A$60:A161)+1,"")</f>
        <v/>
      </c>
      <c r="B162" s="87" t="str">
        <f t="shared" si="7"/>
        <v/>
      </c>
      <c r="C162" s="84"/>
      <c r="D162" s="88"/>
      <c r="E162" s="77"/>
      <c r="F162" s="91"/>
      <c r="G162" s="91"/>
      <c r="H162" s="91"/>
      <c r="I162" s="91"/>
      <c r="J162" s="91"/>
      <c r="K162" s="91"/>
      <c r="L162" s="91"/>
    </row>
    <row r="163" spans="1:12" s="81" customFormat="1" ht="20.100000000000001" customHeight="1">
      <c r="A163" s="90" t="str">
        <f>IF(LEN(F30)&gt;0,MAX($A$60:A162)+1,"")</f>
        <v/>
      </c>
      <c r="B163" s="87" t="str">
        <f t="shared" si="7"/>
        <v/>
      </c>
      <c r="C163" s="84"/>
      <c r="D163" s="88"/>
      <c r="E163" s="77"/>
      <c r="F163" s="91"/>
      <c r="G163" s="91"/>
      <c r="H163" s="91"/>
      <c r="I163" s="91"/>
      <c r="J163" s="91"/>
      <c r="K163" s="91"/>
      <c r="L163" s="91"/>
    </row>
    <row r="164" spans="1:12" s="81" customFormat="1" ht="20.100000000000001" customHeight="1">
      <c r="A164" s="90" t="str">
        <f>IF(LEN(F31)&gt;0,MAX($A$60:A163)+1,"")</f>
        <v/>
      </c>
      <c r="B164" s="87" t="str">
        <f t="shared" si="7"/>
        <v/>
      </c>
      <c r="C164" s="84"/>
      <c r="D164" s="88"/>
      <c r="E164" s="77"/>
      <c r="F164" s="91"/>
      <c r="G164" s="91"/>
      <c r="H164" s="91"/>
      <c r="I164" s="91"/>
      <c r="J164" s="91"/>
      <c r="K164" s="91"/>
      <c r="L164" s="91"/>
    </row>
    <row r="165" spans="1:12" s="81" customFormat="1" ht="20.100000000000001" customHeight="1">
      <c r="A165" s="90" t="str">
        <f>IF(LEN(F32)&gt;0,MAX($A$60:A164)+1,"")</f>
        <v/>
      </c>
      <c r="B165" s="87" t="str">
        <f t="shared" si="7"/>
        <v/>
      </c>
      <c r="C165" s="84"/>
      <c r="D165" s="88"/>
      <c r="E165" s="77"/>
      <c r="F165" s="91"/>
      <c r="G165" s="91"/>
      <c r="H165" s="91"/>
      <c r="I165" s="91"/>
      <c r="J165" s="91"/>
      <c r="K165" s="91"/>
      <c r="L165" s="91"/>
    </row>
    <row r="166" spans="1:12" s="81" customFormat="1" ht="20.100000000000001" customHeight="1">
      <c r="A166" s="90" t="str">
        <f>IF(LEN(F33)&gt;0,MAX($A$60:A165)+1,"")</f>
        <v/>
      </c>
      <c r="B166" s="87" t="str">
        <f t="shared" si="7"/>
        <v/>
      </c>
      <c r="C166" s="84"/>
      <c r="D166" s="88"/>
      <c r="E166" s="77"/>
      <c r="F166" s="91"/>
      <c r="G166" s="91"/>
      <c r="H166" s="91"/>
      <c r="I166" s="91"/>
      <c r="J166" s="91"/>
      <c r="K166" s="91"/>
      <c r="L166" s="91"/>
    </row>
    <row r="167" spans="1:12" s="81" customFormat="1" ht="20.100000000000001" customHeight="1">
      <c r="A167" s="90" t="str">
        <f>IF(LEN(F34)&gt;0,MAX($A$60:A166)+1,"")</f>
        <v/>
      </c>
      <c r="B167" s="87" t="str">
        <f t="shared" si="7"/>
        <v/>
      </c>
      <c r="C167" s="84"/>
      <c r="D167" s="88"/>
      <c r="E167" s="77"/>
      <c r="F167" s="91"/>
      <c r="G167" s="91"/>
      <c r="H167" s="91"/>
      <c r="I167" s="91"/>
      <c r="J167" s="91"/>
      <c r="K167" s="91"/>
      <c r="L167" s="91"/>
    </row>
    <row r="168" spans="1:12" s="81" customFormat="1" ht="20.100000000000001" customHeight="1">
      <c r="A168" s="90" t="str">
        <f>IF(LEN(F35)&gt;0,MAX($A$60:A167)+1,"")</f>
        <v/>
      </c>
      <c r="B168" s="87" t="str">
        <f t="shared" si="7"/>
        <v/>
      </c>
      <c r="C168" s="84"/>
      <c r="D168" s="88"/>
      <c r="E168" s="77"/>
      <c r="F168" s="91"/>
      <c r="G168" s="91"/>
      <c r="H168" s="91"/>
      <c r="I168" s="91"/>
      <c r="J168" s="91"/>
      <c r="K168" s="91"/>
      <c r="L168" s="91"/>
    </row>
    <row r="169" spans="1:12" s="81" customFormat="1" ht="20.100000000000001" customHeight="1">
      <c r="A169" s="90" t="str">
        <f>IF(LEN(F36)&gt;0,MAX($A$60:A168)+1,"")</f>
        <v/>
      </c>
      <c r="B169" s="87" t="str">
        <f t="shared" si="7"/>
        <v/>
      </c>
      <c r="C169" s="84"/>
      <c r="D169" s="88"/>
      <c r="E169" s="77"/>
      <c r="F169" s="91"/>
      <c r="G169" s="91"/>
      <c r="H169" s="91"/>
      <c r="I169" s="91"/>
      <c r="J169" s="91"/>
      <c r="K169" s="91"/>
      <c r="L169" s="91"/>
    </row>
    <row r="170" spans="1:12" s="81" customFormat="1" ht="20.100000000000001" customHeight="1">
      <c r="A170" s="90" t="str">
        <f>IF(LEN(F37)&gt;0,MAX($A$60:A169)+1,"")</f>
        <v/>
      </c>
      <c r="B170" s="87" t="str">
        <f t="shared" si="7"/>
        <v/>
      </c>
      <c r="C170" s="84"/>
      <c r="D170" s="88"/>
      <c r="E170" s="77"/>
      <c r="F170" s="91"/>
      <c r="G170" s="91"/>
      <c r="H170" s="91"/>
      <c r="I170" s="91"/>
      <c r="J170" s="91"/>
      <c r="K170" s="91"/>
      <c r="L170" s="91"/>
    </row>
    <row r="171" spans="1:12" s="81" customFormat="1" ht="20.100000000000001" customHeight="1">
      <c r="A171" s="90" t="str">
        <f>IF(LEN(F38)&gt;0,MAX($A$60:A170)+1,"")</f>
        <v/>
      </c>
      <c r="B171" s="87" t="str">
        <f t="shared" si="7"/>
        <v/>
      </c>
      <c r="C171" s="84"/>
      <c r="D171" s="88"/>
      <c r="E171" s="77"/>
      <c r="F171" s="91"/>
      <c r="G171" s="91"/>
      <c r="H171" s="91"/>
      <c r="I171" s="91"/>
      <c r="J171" s="91"/>
      <c r="K171" s="91"/>
      <c r="L171" s="91"/>
    </row>
    <row r="172" spans="1:12" s="81" customFormat="1" ht="20.100000000000001" customHeight="1">
      <c r="A172" s="90" t="str">
        <f>IF(LEN(F39)&gt;0,MAX($A$60:A171)+1,"")</f>
        <v/>
      </c>
      <c r="B172" s="87" t="str">
        <f t="shared" si="7"/>
        <v/>
      </c>
      <c r="C172" s="84"/>
      <c r="D172" s="88"/>
      <c r="E172" s="77"/>
      <c r="F172" s="91"/>
      <c r="G172" s="91"/>
      <c r="H172" s="91"/>
      <c r="I172" s="91"/>
      <c r="J172" s="91"/>
      <c r="K172" s="91"/>
      <c r="L172" s="91"/>
    </row>
    <row r="173" spans="1:12" s="81" customFormat="1" ht="20.100000000000001" customHeight="1">
      <c r="A173" s="90" t="str">
        <f>IF(LEN(F40)&gt;0,MAX($A$60:A172)+1,"")</f>
        <v/>
      </c>
      <c r="B173" s="87" t="str">
        <f t="shared" si="7"/>
        <v/>
      </c>
      <c r="C173" s="84"/>
      <c r="D173" s="88"/>
      <c r="E173" s="77"/>
      <c r="F173" s="91"/>
      <c r="G173" s="91"/>
      <c r="H173" s="91"/>
      <c r="I173" s="91"/>
      <c r="J173" s="91"/>
      <c r="K173" s="91"/>
      <c r="L173" s="91"/>
    </row>
    <row r="174" spans="1:12" s="81" customFormat="1" ht="20.100000000000001" customHeight="1">
      <c r="A174" s="90" t="str">
        <f>IF(LEN(F41)&gt;0,MAX($A$60:A173)+1,"")</f>
        <v/>
      </c>
      <c r="B174" s="87" t="str">
        <f t="shared" si="7"/>
        <v/>
      </c>
      <c r="C174" s="84"/>
      <c r="D174" s="88"/>
      <c r="E174" s="77"/>
      <c r="F174" s="91"/>
      <c r="G174" s="91"/>
      <c r="H174" s="91"/>
      <c r="I174" s="91"/>
      <c r="J174" s="91"/>
      <c r="K174" s="91"/>
      <c r="L174" s="91"/>
    </row>
    <row r="175" spans="1:12" s="81" customFormat="1" ht="20.100000000000001" customHeight="1">
      <c r="A175" s="90" t="str">
        <f>IF(LEN(F42)&gt;0,MAX($A$60:A174)+1,"")</f>
        <v/>
      </c>
      <c r="B175" s="87" t="str">
        <f t="shared" si="7"/>
        <v/>
      </c>
      <c r="C175" s="84"/>
      <c r="D175" s="83"/>
      <c r="E175" s="77"/>
      <c r="F175" s="91"/>
      <c r="G175" s="91"/>
      <c r="H175" s="91"/>
      <c r="I175" s="91"/>
      <c r="J175" s="91"/>
      <c r="K175" s="91"/>
      <c r="L175" s="91"/>
    </row>
    <row r="176" spans="1:12" ht="20.100000000000001" customHeight="1">
      <c r="A176" s="90" t="str">
        <f>IF(LEN(F43)&gt;0,MAX($A$60:A175)+1,"")</f>
        <v/>
      </c>
      <c r="B176" s="87" t="str">
        <f t="shared" ref="B176:B179" si="8">IF(LEN(F43)&gt;0,F43,"")</f>
        <v/>
      </c>
      <c r="C176" s="84"/>
      <c r="D176" s="83"/>
    </row>
    <row r="177" spans="1:12" ht="20.100000000000001" customHeight="1">
      <c r="A177" s="90" t="str">
        <f>IF(LEN(F44)&gt;0,MAX($A$60:A176)+1,"")</f>
        <v/>
      </c>
      <c r="B177" s="87" t="str">
        <f t="shared" si="8"/>
        <v/>
      </c>
      <c r="C177" s="84"/>
      <c r="D177" s="83"/>
    </row>
    <row r="178" spans="1:12" s="81" customFormat="1" ht="20.100000000000001" customHeight="1">
      <c r="A178" s="90" t="str">
        <f>IF(LEN(F45)&gt;0,MAX($A$60:A177)+1,"")</f>
        <v/>
      </c>
      <c r="B178" s="87" t="str">
        <f t="shared" si="8"/>
        <v/>
      </c>
      <c r="C178" s="84"/>
      <c r="D178" s="83"/>
      <c r="E178" s="77"/>
      <c r="F178" s="91"/>
      <c r="G178" s="91"/>
      <c r="H178" s="91"/>
      <c r="I178" s="91"/>
      <c r="J178" s="91"/>
      <c r="K178" s="91"/>
      <c r="L178" s="91"/>
    </row>
    <row r="179" spans="1:12" ht="20.100000000000001" customHeight="1">
      <c r="A179" s="90" t="str">
        <f>IF(LEN(F46)&gt;0,MAX($A$60:A178)+1,"")</f>
        <v/>
      </c>
      <c r="B179" s="87" t="str">
        <f t="shared" si="8"/>
        <v/>
      </c>
      <c r="C179" s="84"/>
      <c r="D179" s="83"/>
    </row>
    <row r="180" spans="1:12" ht="20.100000000000001" customHeight="1">
      <c r="A180" s="90">
        <f>IF(LEN(G27)&gt;0,MAX($A$60:A179)+1,"")</f>
        <v>15</v>
      </c>
      <c r="B180" s="87" t="str">
        <f>IF(LEN(G27)&gt;0,G27,"")</f>
        <v>한마음체육대회</v>
      </c>
      <c r="C180" s="84">
        <f>IF(SUM(A180:A199)&gt;0,MIN(A180:A199))</f>
        <v>15</v>
      </c>
      <c r="D180" s="88" t="str">
        <f>IF(SUM(A180:A199)&gt;0,G26)</f>
        <v>한마음체육대회</v>
      </c>
    </row>
    <row r="181" spans="1:12" ht="20.100000000000001" customHeight="1">
      <c r="A181" s="90" t="str">
        <f>IF(LEN(G28)&gt;0,MAX($A$60:A180)+1,"")</f>
        <v/>
      </c>
      <c r="B181" s="87" t="str">
        <f>IF(LEN(G28)&gt;0,G28,"")</f>
        <v/>
      </c>
      <c r="C181" s="84"/>
      <c r="D181" s="83"/>
    </row>
    <row r="182" spans="1:12" ht="20.100000000000001" customHeight="1">
      <c r="A182" s="90" t="str">
        <f>IF(LEN(G29)&gt;0,MAX($A$60:A181)+1,"")</f>
        <v/>
      </c>
      <c r="B182" s="87" t="str">
        <f t="shared" ref="B182:B199" si="9">IF(LEN(G29)&gt;0,G29,"")</f>
        <v/>
      </c>
      <c r="C182" s="84"/>
      <c r="D182" s="83"/>
    </row>
    <row r="183" spans="1:12" ht="20.100000000000001" customHeight="1">
      <c r="A183" s="90" t="str">
        <f>IF(LEN(G30)&gt;0,MAX($A$60:A182)+1,"")</f>
        <v/>
      </c>
      <c r="B183" s="87" t="str">
        <f t="shared" si="9"/>
        <v/>
      </c>
      <c r="C183" s="84"/>
      <c r="D183" s="83"/>
    </row>
    <row r="184" spans="1:12" ht="20.100000000000001" customHeight="1">
      <c r="A184" s="90" t="str">
        <f>IF(LEN(G31)&gt;0,MAX($A$60:A183)+1,"")</f>
        <v/>
      </c>
      <c r="B184" s="87" t="str">
        <f t="shared" si="9"/>
        <v/>
      </c>
      <c r="C184" s="84"/>
      <c r="D184" s="83"/>
    </row>
    <row r="185" spans="1:12" ht="20.100000000000001" customHeight="1">
      <c r="A185" s="90" t="str">
        <f>IF(LEN(G32)&gt;0,MAX($A$60:A184)+1,"")</f>
        <v/>
      </c>
      <c r="B185" s="87" t="str">
        <f t="shared" si="9"/>
        <v/>
      </c>
      <c r="C185" s="84"/>
      <c r="D185" s="83"/>
    </row>
    <row r="186" spans="1:12" ht="20.100000000000001" customHeight="1">
      <c r="A186" s="90" t="str">
        <f>IF(LEN(G33)&gt;0,MAX($A$60:A185)+1,"")</f>
        <v/>
      </c>
      <c r="B186" s="87" t="str">
        <f t="shared" si="9"/>
        <v/>
      </c>
      <c r="C186" s="84"/>
      <c r="D186" s="83"/>
    </row>
    <row r="187" spans="1:12" ht="20.100000000000001" customHeight="1">
      <c r="A187" s="90" t="str">
        <f>IF(LEN(G34)&gt;0,MAX($A$60:A186)+1,"")</f>
        <v/>
      </c>
      <c r="B187" s="87" t="str">
        <f t="shared" si="9"/>
        <v/>
      </c>
      <c r="C187" s="84"/>
      <c r="D187" s="83"/>
    </row>
    <row r="188" spans="1:12" ht="20.100000000000001" customHeight="1">
      <c r="A188" s="90" t="str">
        <f>IF(LEN(G35)&gt;0,MAX($A$60:A187)+1,"")</f>
        <v/>
      </c>
      <c r="B188" s="87" t="str">
        <f t="shared" si="9"/>
        <v/>
      </c>
      <c r="C188" s="84"/>
      <c r="D188" s="83"/>
    </row>
    <row r="189" spans="1:12" ht="20.100000000000001" customHeight="1">
      <c r="A189" s="90" t="str">
        <f>IF(LEN(G36)&gt;0,MAX($A$60:A188)+1,"")</f>
        <v/>
      </c>
      <c r="B189" s="87" t="str">
        <f t="shared" si="9"/>
        <v/>
      </c>
      <c r="C189" s="84"/>
      <c r="D189" s="83"/>
    </row>
    <row r="190" spans="1:12" ht="20.100000000000001" customHeight="1">
      <c r="A190" s="90" t="str">
        <f>IF(LEN(G37)&gt;0,MAX($A$60:A189)+1,"")</f>
        <v/>
      </c>
      <c r="B190" s="87" t="str">
        <f t="shared" si="9"/>
        <v/>
      </c>
      <c r="C190" s="84"/>
      <c r="D190" s="83"/>
    </row>
    <row r="191" spans="1:12" ht="20.100000000000001" customHeight="1">
      <c r="A191" s="90" t="str">
        <f>IF(LEN(G38)&gt;0,MAX($A$60:A190)+1,"")</f>
        <v/>
      </c>
      <c r="B191" s="87" t="str">
        <f t="shared" si="9"/>
        <v/>
      </c>
      <c r="C191" s="84"/>
      <c r="D191" s="83"/>
    </row>
    <row r="192" spans="1:12" ht="20.100000000000001" customHeight="1">
      <c r="A192" s="90" t="str">
        <f>IF(LEN(G39)&gt;0,MAX($A$60:A191)+1,"")</f>
        <v/>
      </c>
      <c r="B192" s="87" t="str">
        <f t="shared" si="9"/>
        <v/>
      </c>
      <c r="C192" s="84"/>
      <c r="D192" s="83"/>
    </row>
    <row r="193" spans="1:12" ht="20.100000000000001" customHeight="1">
      <c r="A193" s="90" t="str">
        <f>IF(LEN(G40)&gt;0,MAX($A$60:A192)+1,"")</f>
        <v/>
      </c>
      <c r="B193" s="87" t="str">
        <f t="shared" si="9"/>
        <v/>
      </c>
      <c r="C193" s="84"/>
      <c r="D193" s="83"/>
    </row>
    <row r="194" spans="1:12" ht="20.100000000000001" customHeight="1">
      <c r="A194" s="90" t="str">
        <f>IF(LEN(G41)&gt;0,MAX($A$60:A193)+1,"")</f>
        <v/>
      </c>
      <c r="B194" s="87" t="str">
        <f t="shared" si="9"/>
        <v/>
      </c>
      <c r="C194" s="84"/>
      <c r="D194" s="83"/>
    </row>
    <row r="195" spans="1:12" ht="20.100000000000001" customHeight="1">
      <c r="A195" s="90" t="str">
        <f>IF(LEN(G42)&gt;0,MAX($A$60:A194)+1,"")</f>
        <v/>
      </c>
      <c r="B195" s="87" t="str">
        <f t="shared" si="9"/>
        <v/>
      </c>
      <c r="C195" s="84"/>
      <c r="D195" s="83"/>
    </row>
    <row r="196" spans="1:12" ht="20.100000000000001" customHeight="1">
      <c r="A196" s="90" t="str">
        <f>IF(LEN(G43)&gt;0,MAX($A$60:A195)+1,"")</f>
        <v/>
      </c>
      <c r="B196" s="87" t="str">
        <f t="shared" si="9"/>
        <v/>
      </c>
      <c r="C196" s="84"/>
      <c r="D196" s="83"/>
    </row>
    <row r="197" spans="1:12" s="81" customFormat="1" ht="20.100000000000001" customHeight="1">
      <c r="A197" s="90" t="str">
        <f>IF(LEN(G44)&gt;0,MAX($A$60:A196)+1,"")</f>
        <v/>
      </c>
      <c r="B197" s="87" t="str">
        <f t="shared" si="9"/>
        <v/>
      </c>
      <c r="C197" s="84"/>
      <c r="D197" s="83"/>
      <c r="E197" s="77"/>
      <c r="F197" s="91"/>
      <c r="G197" s="91"/>
      <c r="H197" s="91"/>
      <c r="I197" s="91"/>
      <c r="J197" s="91"/>
      <c r="K197" s="91"/>
      <c r="L197" s="91"/>
    </row>
    <row r="198" spans="1:12" s="81" customFormat="1" ht="20.100000000000001" customHeight="1">
      <c r="A198" s="90" t="str">
        <f>IF(LEN(G45)&gt;0,MAX($A$60:A197)+1,"")</f>
        <v/>
      </c>
      <c r="B198" s="87" t="str">
        <f t="shared" si="9"/>
        <v/>
      </c>
      <c r="C198" s="84"/>
      <c r="D198" s="83"/>
      <c r="E198" s="77"/>
      <c r="F198" s="91"/>
      <c r="G198" s="91"/>
      <c r="H198" s="91"/>
      <c r="I198" s="91"/>
      <c r="J198" s="91"/>
      <c r="K198" s="91"/>
      <c r="L198" s="91"/>
    </row>
    <row r="199" spans="1:12" s="81" customFormat="1" ht="20.100000000000001" customHeight="1">
      <c r="A199" s="90" t="str">
        <f>IF(LEN(G46)&gt;0,MAX($A$60:A198)+1,"")</f>
        <v/>
      </c>
      <c r="B199" s="87" t="str">
        <f t="shared" si="9"/>
        <v/>
      </c>
      <c r="C199" s="84"/>
      <c r="D199" s="83"/>
      <c r="E199" s="77"/>
      <c r="F199" s="91"/>
      <c r="G199" s="91"/>
      <c r="H199" s="91"/>
      <c r="I199" s="91"/>
      <c r="J199" s="91"/>
      <c r="K199" s="91"/>
      <c r="L199" s="91"/>
    </row>
    <row r="200" spans="1:12" s="81" customFormat="1" ht="20.100000000000001" customHeight="1">
      <c r="A200" s="90">
        <f>IF(LEN(H27)&gt;0,MAX($A$60:A199)+1,"")</f>
        <v>16</v>
      </c>
      <c r="B200" s="87" t="str">
        <f>IF(LEN(H27)&gt;0,H27,"")</f>
        <v>육아부/경비</v>
      </c>
      <c r="C200" s="84">
        <f>IF(SUM(A200:A219)&gt;0,MIN(A200:A219))</f>
        <v>16</v>
      </c>
      <c r="D200" s="88" t="str">
        <f>IF(SUM(A200:A219)&gt;0,H26)</f>
        <v>육아부/경비</v>
      </c>
      <c r="E200" s="77"/>
      <c r="F200" s="91"/>
      <c r="G200" s="91"/>
      <c r="H200" s="91"/>
      <c r="I200" s="91"/>
      <c r="J200" s="91"/>
      <c r="K200" s="91"/>
      <c r="L200" s="91"/>
    </row>
    <row r="201" spans="1:12" s="81" customFormat="1" ht="20.100000000000001" customHeight="1">
      <c r="A201" s="90" t="str">
        <f>IF(LEN(H28)&gt;0,MAX($A$60:A200)+1,"")</f>
        <v/>
      </c>
      <c r="B201" s="87" t="str">
        <f t="shared" ref="B201:B219" si="10">IF(LEN(H28)&gt;0,H28,"")</f>
        <v/>
      </c>
      <c r="C201" s="84"/>
      <c r="D201" s="88"/>
      <c r="E201" s="77"/>
      <c r="F201" s="91"/>
      <c r="G201" s="91"/>
      <c r="H201" s="91"/>
      <c r="I201" s="91"/>
      <c r="J201" s="91"/>
      <c r="K201" s="91"/>
      <c r="L201" s="91"/>
    </row>
    <row r="202" spans="1:12" s="81" customFormat="1" ht="20.100000000000001" customHeight="1">
      <c r="A202" s="90" t="str">
        <f>IF(LEN(H29)&gt;0,MAX($A$60:A201)+1,"")</f>
        <v/>
      </c>
      <c r="B202" s="87" t="str">
        <f t="shared" si="10"/>
        <v/>
      </c>
      <c r="C202" s="84"/>
      <c r="D202" s="88"/>
      <c r="E202" s="77"/>
      <c r="F202" s="91"/>
      <c r="G202" s="91"/>
      <c r="H202" s="91"/>
      <c r="I202" s="91"/>
      <c r="J202" s="91"/>
      <c r="K202" s="91"/>
      <c r="L202" s="91"/>
    </row>
    <row r="203" spans="1:12" s="81" customFormat="1" ht="20.100000000000001" customHeight="1">
      <c r="A203" s="90" t="str">
        <f>IF(LEN(H30)&gt;0,MAX($A$60:A202)+1,"")</f>
        <v/>
      </c>
      <c r="B203" s="87" t="str">
        <f t="shared" si="10"/>
        <v/>
      </c>
      <c r="C203" s="84"/>
      <c r="D203" s="88"/>
      <c r="E203" s="77"/>
      <c r="F203" s="91"/>
      <c r="G203" s="91"/>
      <c r="H203" s="91"/>
      <c r="I203" s="91"/>
      <c r="J203" s="91"/>
      <c r="K203" s="91"/>
      <c r="L203" s="91"/>
    </row>
    <row r="204" spans="1:12" s="81" customFormat="1" ht="20.100000000000001" customHeight="1">
      <c r="A204" s="90" t="str">
        <f>IF(LEN(H31)&gt;0,MAX($A$60:A203)+1,"")</f>
        <v/>
      </c>
      <c r="B204" s="87" t="str">
        <f t="shared" si="10"/>
        <v/>
      </c>
      <c r="C204" s="84"/>
      <c r="D204" s="88"/>
      <c r="E204" s="77"/>
      <c r="F204" s="91"/>
      <c r="G204" s="91"/>
      <c r="H204" s="91"/>
      <c r="I204" s="91"/>
      <c r="J204" s="91"/>
      <c r="K204" s="91"/>
      <c r="L204" s="91"/>
    </row>
    <row r="205" spans="1:12" s="81" customFormat="1" ht="20.100000000000001" customHeight="1">
      <c r="A205" s="90" t="str">
        <f>IF(LEN(H32)&gt;0,MAX($A$60:A204)+1,"")</f>
        <v/>
      </c>
      <c r="B205" s="87" t="str">
        <f t="shared" si="10"/>
        <v/>
      </c>
      <c r="C205" s="84"/>
      <c r="D205" s="88"/>
      <c r="E205" s="77"/>
      <c r="F205" s="91"/>
      <c r="G205" s="91"/>
      <c r="H205" s="91"/>
      <c r="I205" s="91"/>
      <c r="J205" s="91"/>
      <c r="K205" s="91"/>
      <c r="L205" s="91"/>
    </row>
    <row r="206" spans="1:12" s="81" customFormat="1" ht="20.100000000000001" customHeight="1">
      <c r="A206" s="90" t="str">
        <f>IF(LEN(H33)&gt;0,MAX($A$60:A205)+1,"")</f>
        <v/>
      </c>
      <c r="B206" s="87" t="str">
        <f t="shared" si="10"/>
        <v/>
      </c>
      <c r="C206" s="84"/>
      <c r="D206" s="88"/>
      <c r="E206" s="77"/>
      <c r="F206" s="91"/>
      <c r="G206" s="91"/>
      <c r="H206" s="91"/>
      <c r="I206" s="91"/>
      <c r="J206" s="91"/>
      <c r="K206" s="91"/>
      <c r="L206" s="91"/>
    </row>
    <row r="207" spans="1:12" s="81" customFormat="1" ht="20.100000000000001" customHeight="1">
      <c r="A207" s="90" t="str">
        <f>IF(LEN(H34)&gt;0,MAX($A$60:A206)+1,"")</f>
        <v/>
      </c>
      <c r="B207" s="87" t="str">
        <f t="shared" si="10"/>
        <v/>
      </c>
      <c r="C207" s="84"/>
      <c r="D207" s="88"/>
      <c r="E207" s="77"/>
      <c r="F207" s="91"/>
      <c r="G207" s="91"/>
      <c r="H207" s="91"/>
      <c r="I207" s="91"/>
      <c r="J207" s="91"/>
      <c r="K207" s="91"/>
      <c r="L207" s="91"/>
    </row>
    <row r="208" spans="1:12" s="81" customFormat="1" ht="20.100000000000001" customHeight="1">
      <c r="A208" s="90" t="str">
        <f>IF(LEN(H35)&gt;0,MAX($A$60:A207)+1,"")</f>
        <v/>
      </c>
      <c r="B208" s="87" t="str">
        <f t="shared" si="10"/>
        <v/>
      </c>
      <c r="C208" s="84"/>
      <c r="D208" s="88"/>
      <c r="E208" s="77"/>
      <c r="F208" s="91"/>
      <c r="G208" s="91"/>
      <c r="H208" s="91"/>
      <c r="I208" s="91"/>
      <c r="J208" s="91"/>
      <c r="K208" s="91"/>
      <c r="L208" s="91"/>
    </row>
    <row r="209" spans="1:12" s="81" customFormat="1" ht="20.100000000000001" customHeight="1">
      <c r="A209" s="90" t="str">
        <f>IF(LEN(H36)&gt;0,MAX($A$60:A208)+1,"")</f>
        <v/>
      </c>
      <c r="B209" s="87" t="str">
        <f t="shared" si="10"/>
        <v/>
      </c>
      <c r="C209" s="84"/>
      <c r="D209" s="88"/>
      <c r="E209" s="77"/>
      <c r="F209" s="91"/>
      <c r="G209" s="91"/>
      <c r="H209" s="91"/>
      <c r="I209" s="91"/>
      <c r="J209" s="91"/>
      <c r="K209" s="91"/>
      <c r="L209" s="91"/>
    </row>
    <row r="210" spans="1:12" s="81" customFormat="1" ht="20.100000000000001" customHeight="1">
      <c r="A210" s="90" t="str">
        <f>IF(LEN(H37)&gt;0,MAX($A$60:A209)+1,"")</f>
        <v/>
      </c>
      <c r="B210" s="87" t="str">
        <f t="shared" si="10"/>
        <v/>
      </c>
      <c r="C210" s="84"/>
      <c r="D210" s="88"/>
      <c r="E210" s="77"/>
      <c r="F210" s="91"/>
      <c r="G210" s="91"/>
      <c r="H210" s="91"/>
      <c r="I210" s="91"/>
      <c r="J210" s="91"/>
      <c r="K210" s="91"/>
      <c r="L210" s="91"/>
    </row>
    <row r="211" spans="1:12" s="81" customFormat="1" ht="20.100000000000001" customHeight="1">
      <c r="A211" s="90" t="str">
        <f>IF(LEN(H38)&gt;0,MAX($A$60:A210)+1,"")</f>
        <v/>
      </c>
      <c r="B211" s="87" t="str">
        <f t="shared" si="10"/>
        <v/>
      </c>
      <c r="C211" s="84"/>
      <c r="D211" s="88"/>
      <c r="E211" s="77"/>
      <c r="F211" s="91"/>
      <c r="G211" s="91"/>
      <c r="H211" s="91"/>
      <c r="I211" s="91"/>
      <c r="J211" s="91"/>
      <c r="K211" s="91"/>
      <c r="L211" s="91"/>
    </row>
    <row r="212" spans="1:12" s="81" customFormat="1" ht="20.100000000000001" customHeight="1">
      <c r="A212" s="90" t="str">
        <f>IF(LEN(H39)&gt;0,MAX($A$60:A211)+1,"")</f>
        <v/>
      </c>
      <c r="B212" s="87" t="str">
        <f t="shared" si="10"/>
        <v/>
      </c>
      <c r="C212" s="84"/>
      <c r="D212" s="88"/>
      <c r="E212" s="77"/>
      <c r="F212" s="91"/>
      <c r="G212" s="91"/>
      <c r="H212" s="91"/>
      <c r="I212" s="91"/>
      <c r="J212" s="91"/>
      <c r="K212" s="91"/>
      <c r="L212" s="91"/>
    </row>
    <row r="213" spans="1:12" s="81" customFormat="1" ht="20.100000000000001" customHeight="1">
      <c r="A213" s="90" t="str">
        <f>IF(LEN(H40)&gt;0,MAX($A$60:A212)+1,"")</f>
        <v/>
      </c>
      <c r="B213" s="87" t="str">
        <f t="shared" si="10"/>
        <v/>
      </c>
      <c r="C213" s="84"/>
      <c r="D213" s="88"/>
      <c r="E213" s="77"/>
      <c r="F213" s="91"/>
      <c r="G213" s="91"/>
      <c r="H213" s="91"/>
      <c r="I213" s="91"/>
      <c r="J213" s="91"/>
      <c r="K213" s="91"/>
      <c r="L213" s="91"/>
    </row>
    <row r="214" spans="1:12" s="81" customFormat="1" ht="20.100000000000001" customHeight="1">
      <c r="A214" s="90" t="str">
        <f>IF(LEN(H41)&gt;0,MAX($A$60:A213)+1,"")</f>
        <v/>
      </c>
      <c r="B214" s="87" t="str">
        <f t="shared" si="10"/>
        <v/>
      </c>
      <c r="C214" s="84"/>
      <c r="D214" s="88"/>
      <c r="E214" s="77"/>
      <c r="F214" s="91"/>
      <c r="G214" s="91"/>
      <c r="H214" s="91"/>
      <c r="I214" s="91"/>
      <c r="J214" s="91"/>
      <c r="K214" s="91"/>
      <c r="L214" s="91"/>
    </row>
    <row r="215" spans="1:12" s="81" customFormat="1" ht="20.100000000000001" customHeight="1">
      <c r="A215" s="90" t="str">
        <f>IF(LEN(H42)&gt;0,MAX($A$60:A214)+1,"")</f>
        <v/>
      </c>
      <c r="B215" s="87" t="str">
        <f t="shared" si="10"/>
        <v/>
      </c>
      <c r="C215" s="84"/>
      <c r="D215" s="83"/>
      <c r="E215" s="77"/>
      <c r="F215" s="91"/>
      <c r="G215" s="91"/>
      <c r="H215" s="91"/>
      <c r="I215" s="91"/>
      <c r="J215" s="91"/>
      <c r="K215" s="91"/>
      <c r="L215" s="91"/>
    </row>
    <row r="216" spans="1:12" ht="20.100000000000001" customHeight="1">
      <c r="A216" s="90" t="str">
        <f>IF(LEN(H43)&gt;0,MAX($A$60:A215)+1,"")</f>
        <v/>
      </c>
      <c r="B216" s="87" t="str">
        <f t="shared" si="10"/>
        <v/>
      </c>
      <c r="C216" s="84"/>
      <c r="D216" s="83"/>
    </row>
    <row r="217" spans="1:12" s="81" customFormat="1" ht="20.100000000000001" customHeight="1">
      <c r="A217" s="90" t="str">
        <f>IF(LEN(H44)&gt;0,MAX($A$60:A216)+1,"")</f>
        <v/>
      </c>
      <c r="B217" s="87" t="str">
        <f t="shared" si="10"/>
        <v/>
      </c>
      <c r="C217" s="84"/>
      <c r="D217" s="83"/>
      <c r="E217" s="77"/>
      <c r="F217" s="91"/>
      <c r="G217" s="91"/>
      <c r="H217" s="91"/>
      <c r="I217" s="91"/>
      <c r="J217" s="91"/>
      <c r="K217" s="91"/>
      <c r="L217" s="91"/>
    </row>
    <row r="218" spans="1:12" ht="20.100000000000001" customHeight="1">
      <c r="A218" s="90" t="str">
        <f>IF(LEN(H45)&gt;0,MAX($A$60:A217)+1,"")</f>
        <v/>
      </c>
      <c r="B218" s="87" t="str">
        <f t="shared" si="10"/>
        <v/>
      </c>
      <c r="C218" s="84"/>
      <c r="D218" s="83"/>
    </row>
    <row r="219" spans="1:12" ht="20.100000000000001" customHeight="1">
      <c r="A219" s="90" t="str">
        <f>IF(LEN(H46)&gt;0,MAX($A$60:A218)+1,"")</f>
        <v/>
      </c>
      <c r="B219" s="87" t="str">
        <f t="shared" si="10"/>
        <v/>
      </c>
      <c r="C219" s="84"/>
      <c r="D219" s="83"/>
    </row>
    <row r="220" spans="1:12" ht="20.100000000000001" customHeight="1">
      <c r="A220" s="90">
        <f>IF(LEN(I27)&gt;0,MAX($A$60:A219)+1,"")</f>
        <v>17</v>
      </c>
      <c r="B220" s="87" t="str">
        <f>IF(LEN(I27)&gt;0,I27,"")</f>
        <v>특강비</v>
      </c>
      <c r="C220" s="84">
        <f>IF(SUM(A220:A239)&gt;0,MIN(A220:A239))</f>
        <v>17</v>
      </c>
      <c r="D220" s="88" t="str">
        <f>IF(SUM(A220:A239)&gt;0,I26)</f>
        <v>특강/도서구입비</v>
      </c>
    </row>
    <row r="221" spans="1:12" ht="20.100000000000001" customHeight="1">
      <c r="A221" s="90">
        <f>IF(LEN(I28)&gt;0,MAX($A$60:A220)+1,"")</f>
        <v>18</v>
      </c>
      <c r="B221" s="87" t="str">
        <f t="shared" ref="B221:B239" si="11">IF(LEN(I28)&gt;0,I28,"")</f>
        <v>도서구입비</v>
      </c>
      <c r="C221" s="84"/>
      <c r="D221" s="88"/>
    </row>
    <row r="222" spans="1:12" ht="20.100000000000001" customHeight="1">
      <c r="A222" s="90" t="str">
        <f>IF(LEN(I29)&gt;0,MAX($A$60:A221)+1,"")</f>
        <v/>
      </c>
      <c r="B222" s="87" t="str">
        <f t="shared" si="11"/>
        <v/>
      </c>
      <c r="C222" s="84"/>
      <c r="D222" s="88"/>
    </row>
    <row r="223" spans="1:12" ht="20.100000000000001" customHeight="1">
      <c r="A223" s="90" t="str">
        <f>IF(LEN(I30)&gt;0,MAX($A$60:A222)+1,"")</f>
        <v/>
      </c>
      <c r="B223" s="87" t="str">
        <f t="shared" si="11"/>
        <v/>
      </c>
      <c r="C223" s="84"/>
      <c r="D223" s="88"/>
    </row>
    <row r="224" spans="1:12" ht="20.100000000000001" customHeight="1">
      <c r="A224" s="90" t="str">
        <f>IF(LEN(I31)&gt;0,MAX($A$60:A223)+1,"")</f>
        <v/>
      </c>
      <c r="B224" s="87" t="str">
        <f t="shared" si="11"/>
        <v/>
      </c>
      <c r="C224" s="84"/>
      <c r="D224" s="88"/>
    </row>
    <row r="225" spans="1:12" ht="20.100000000000001" customHeight="1">
      <c r="A225" s="90" t="str">
        <f>IF(LEN(I32)&gt;0,MAX($A$60:A224)+1,"")</f>
        <v/>
      </c>
      <c r="B225" s="87" t="str">
        <f t="shared" si="11"/>
        <v/>
      </c>
      <c r="C225" s="84"/>
      <c r="D225" s="88"/>
    </row>
    <row r="226" spans="1:12" ht="20.100000000000001" customHeight="1">
      <c r="A226" s="90" t="str">
        <f>IF(LEN(I33)&gt;0,MAX($A$60:A225)+1,"")</f>
        <v/>
      </c>
      <c r="B226" s="87" t="str">
        <f t="shared" si="11"/>
        <v/>
      </c>
      <c r="C226" s="84"/>
      <c r="D226" s="88"/>
    </row>
    <row r="227" spans="1:12" ht="20.100000000000001" customHeight="1">
      <c r="A227" s="90" t="str">
        <f>IF(LEN(I34)&gt;0,MAX($A$60:A226)+1,"")</f>
        <v/>
      </c>
      <c r="B227" s="87" t="str">
        <f t="shared" si="11"/>
        <v/>
      </c>
      <c r="C227" s="84"/>
      <c r="D227" s="88"/>
    </row>
    <row r="228" spans="1:12" ht="20.100000000000001" customHeight="1">
      <c r="A228" s="90" t="str">
        <f>IF(LEN(I35)&gt;0,MAX($A$60:A227)+1,"")</f>
        <v/>
      </c>
      <c r="B228" s="87" t="str">
        <f t="shared" si="11"/>
        <v/>
      </c>
      <c r="C228" s="84"/>
      <c r="D228" s="88"/>
    </row>
    <row r="229" spans="1:12" ht="20.100000000000001" customHeight="1">
      <c r="A229" s="90" t="str">
        <f>IF(LEN(I36)&gt;0,MAX($A$60:A228)+1,"")</f>
        <v/>
      </c>
      <c r="B229" s="87" t="str">
        <f t="shared" si="11"/>
        <v/>
      </c>
      <c r="C229" s="84"/>
      <c r="D229" s="88"/>
    </row>
    <row r="230" spans="1:12" ht="20.100000000000001" customHeight="1">
      <c r="A230" s="90" t="str">
        <f>IF(LEN(I37)&gt;0,MAX($A$60:A229)+1,"")</f>
        <v/>
      </c>
      <c r="B230" s="87" t="str">
        <f t="shared" si="11"/>
        <v/>
      </c>
      <c r="C230" s="84"/>
      <c r="D230" s="88"/>
    </row>
    <row r="231" spans="1:12" ht="20.100000000000001" customHeight="1">
      <c r="A231" s="90" t="str">
        <f>IF(LEN(I38)&gt;0,MAX($A$60:A230)+1,"")</f>
        <v/>
      </c>
      <c r="B231" s="87" t="str">
        <f t="shared" si="11"/>
        <v/>
      </c>
      <c r="C231" s="84"/>
      <c r="D231" s="88"/>
    </row>
    <row r="232" spans="1:12" ht="20.100000000000001" customHeight="1">
      <c r="A232" s="90" t="str">
        <f>IF(LEN(I39)&gt;0,MAX($A$60:A231)+1,"")</f>
        <v/>
      </c>
      <c r="B232" s="87" t="str">
        <f t="shared" si="11"/>
        <v/>
      </c>
      <c r="C232" s="84"/>
      <c r="D232" s="88"/>
    </row>
    <row r="233" spans="1:12" ht="20.100000000000001" customHeight="1">
      <c r="A233" s="90" t="str">
        <f>IF(LEN(I40)&gt;0,MAX($A$60:A232)+1,"")</f>
        <v/>
      </c>
      <c r="B233" s="87" t="str">
        <f t="shared" si="11"/>
        <v/>
      </c>
      <c r="C233" s="84"/>
      <c r="D233" s="88"/>
    </row>
    <row r="234" spans="1:12" ht="20.100000000000001" customHeight="1">
      <c r="A234" s="90" t="str">
        <f>IF(LEN(I41)&gt;0,MAX($A$60:A233)+1,"")</f>
        <v/>
      </c>
      <c r="B234" s="87" t="str">
        <f t="shared" si="11"/>
        <v/>
      </c>
      <c r="C234" s="84"/>
      <c r="D234" s="88"/>
    </row>
    <row r="235" spans="1:12" s="81" customFormat="1" ht="20.100000000000001" customHeight="1">
      <c r="A235" s="90" t="str">
        <f>IF(LEN(I42)&gt;0,MAX($A$60:A234)+1,"")</f>
        <v/>
      </c>
      <c r="B235" s="87" t="str">
        <f t="shared" si="11"/>
        <v/>
      </c>
      <c r="C235" s="84"/>
      <c r="D235" s="83"/>
      <c r="E235" s="77"/>
      <c r="F235" s="91"/>
      <c r="G235" s="91"/>
      <c r="H235" s="91"/>
      <c r="I235" s="91"/>
      <c r="J235" s="91"/>
      <c r="K235" s="91"/>
      <c r="L235" s="91"/>
    </row>
    <row r="236" spans="1:12" ht="20.100000000000001" customHeight="1">
      <c r="A236" s="90" t="str">
        <f>IF(LEN(I43)&gt;0,MAX($A$60:A235)+1,"")</f>
        <v/>
      </c>
      <c r="B236" s="87" t="str">
        <f t="shared" si="11"/>
        <v/>
      </c>
      <c r="C236" s="84"/>
      <c r="D236" s="83"/>
    </row>
    <row r="237" spans="1:12" ht="20.100000000000001" customHeight="1">
      <c r="A237" s="90" t="str">
        <f>IF(LEN(I44)&gt;0,MAX($A$60:A236)+1,"")</f>
        <v/>
      </c>
      <c r="B237" s="87" t="str">
        <f t="shared" si="11"/>
        <v/>
      </c>
      <c r="C237" s="84"/>
      <c r="D237" s="83"/>
    </row>
    <row r="238" spans="1:12" s="81" customFormat="1" ht="20.100000000000001" customHeight="1">
      <c r="A238" s="90" t="str">
        <f>IF(LEN(I45)&gt;0,MAX($A$60:A237)+1,"")</f>
        <v/>
      </c>
      <c r="B238" s="87" t="str">
        <f t="shared" si="11"/>
        <v/>
      </c>
      <c r="C238" s="84"/>
      <c r="D238" s="83"/>
      <c r="E238" s="77"/>
      <c r="F238" s="91"/>
      <c r="G238" s="91"/>
      <c r="H238" s="91"/>
      <c r="I238" s="91"/>
      <c r="J238" s="91"/>
      <c r="K238" s="91"/>
      <c r="L238" s="91"/>
    </row>
    <row r="239" spans="1:12" s="81" customFormat="1" ht="20.100000000000001" customHeight="1">
      <c r="A239" s="90" t="str">
        <f>IF(LEN(I46)&gt;0,MAX($A$60:A238)+1,"")</f>
        <v/>
      </c>
      <c r="B239" s="87" t="str">
        <f t="shared" si="11"/>
        <v/>
      </c>
      <c r="C239" s="84"/>
      <c r="D239" s="83"/>
      <c r="E239" s="77"/>
      <c r="F239" s="91"/>
      <c r="G239" s="91"/>
      <c r="H239" s="91"/>
      <c r="I239" s="91"/>
      <c r="J239" s="91"/>
      <c r="K239" s="91"/>
      <c r="L239" s="91"/>
    </row>
    <row r="240" spans="1:12" ht="20.100000000000001" customHeight="1">
      <c r="A240" s="90">
        <f>IF(LEN(J27)&gt;0,MAX($A$60:A239)+1,"")</f>
        <v>19</v>
      </c>
      <c r="B240" s="87" t="str">
        <f>IF(LEN(J27)&gt;0,J27,"")</f>
        <v>요람제작비</v>
      </c>
      <c r="C240" s="84">
        <f>IF(SUM(A240:A259)&gt;0,MIN(A240:A259))</f>
        <v>19</v>
      </c>
      <c r="D240" s="88" t="str">
        <f>IF(SUM(A240:A259)&gt;0,J26)</f>
        <v>요람/현수막제작비</v>
      </c>
    </row>
    <row r="241" spans="1:4" ht="20.100000000000001" customHeight="1">
      <c r="A241" s="90">
        <f>IF(LEN(J28)&gt;0,MAX($A$60:A240)+1,"")</f>
        <v>20</v>
      </c>
      <c r="B241" s="87" t="str">
        <f t="shared" ref="B241:B258" si="12">IF(LEN(J28)&gt;0,J28,"")</f>
        <v>현수막제작비</v>
      </c>
      <c r="C241" s="84"/>
      <c r="D241" s="88"/>
    </row>
    <row r="242" spans="1:4" ht="20.100000000000001" customHeight="1">
      <c r="A242" s="90" t="str">
        <f>IF(LEN(J29)&gt;0,MAX($A$60:A241)+1,"")</f>
        <v/>
      </c>
      <c r="B242" s="87" t="str">
        <f t="shared" si="12"/>
        <v/>
      </c>
      <c r="C242" s="84"/>
      <c r="D242" s="88"/>
    </row>
    <row r="243" spans="1:4" ht="20.100000000000001" customHeight="1">
      <c r="A243" s="90" t="str">
        <f>IF(LEN(J30)&gt;0,MAX($A$60:A242)+1,"")</f>
        <v/>
      </c>
      <c r="B243" s="87" t="str">
        <f t="shared" si="12"/>
        <v/>
      </c>
      <c r="C243" s="84"/>
      <c r="D243" s="88"/>
    </row>
    <row r="244" spans="1:4" ht="20.100000000000001" customHeight="1">
      <c r="A244" s="90" t="str">
        <f>IF(LEN(J31)&gt;0,MAX($A$60:A243)+1,"")</f>
        <v/>
      </c>
      <c r="B244" s="87" t="str">
        <f t="shared" si="12"/>
        <v/>
      </c>
      <c r="C244" s="84"/>
      <c r="D244" s="88"/>
    </row>
    <row r="245" spans="1:4" ht="20.100000000000001" customHeight="1">
      <c r="A245" s="90" t="str">
        <f>IF(LEN(J32)&gt;0,MAX($A$60:A244)+1,"")</f>
        <v/>
      </c>
      <c r="B245" s="87" t="str">
        <f t="shared" si="12"/>
        <v/>
      </c>
      <c r="C245" s="84"/>
      <c r="D245" s="88"/>
    </row>
    <row r="246" spans="1:4" ht="20.100000000000001" customHeight="1">
      <c r="A246" s="90" t="str">
        <f>IF(LEN(J33)&gt;0,MAX($A$60:A245)+1,"")</f>
        <v/>
      </c>
      <c r="B246" s="87" t="str">
        <f t="shared" si="12"/>
        <v/>
      </c>
      <c r="C246" s="84"/>
      <c r="D246" s="88"/>
    </row>
    <row r="247" spans="1:4" ht="20.100000000000001" customHeight="1">
      <c r="A247" s="90" t="str">
        <f>IF(LEN(J34)&gt;0,MAX($A$60:A246)+1,"")</f>
        <v/>
      </c>
      <c r="B247" s="87" t="str">
        <f t="shared" si="12"/>
        <v/>
      </c>
      <c r="C247" s="84"/>
      <c r="D247" s="88"/>
    </row>
    <row r="248" spans="1:4" ht="20.100000000000001" customHeight="1">
      <c r="A248" s="90" t="str">
        <f>IF(LEN(J35)&gt;0,MAX($A$60:A247)+1,"")</f>
        <v/>
      </c>
      <c r="B248" s="87" t="str">
        <f t="shared" si="12"/>
        <v/>
      </c>
      <c r="C248" s="84"/>
      <c r="D248" s="88"/>
    </row>
    <row r="249" spans="1:4" ht="20.100000000000001" customHeight="1">
      <c r="A249" s="90" t="str">
        <f>IF(LEN(J36)&gt;0,MAX($A$60:A248)+1,"")</f>
        <v/>
      </c>
      <c r="B249" s="87" t="str">
        <f t="shared" si="12"/>
        <v/>
      </c>
      <c r="C249" s="84"/>
      <c r="D249" s="88"/>
    </row>
    <row r="250" spans="1:4" ht="20.100000000000001" customHeight="1">
      <c r="A250" s="90" t="str">
        <f>IF(LEN(J37)&gt;0,MAX($A$60:A249)+1,"")</f>
        <v/>
      </c>
      <c r="B250" s="87" t="str">
        <f t="shared" si="12"/>
        <v/>
      </c>
      <c r="C250" s="84"/>
      <c r="D250" s="88"/>
    </row>
    <row r="251" spans="1:4" ht="20.100000000000001" customHeight="1">
      <c r="A251" s="90" t="str">
        <f>IF(LEN(J38)&gt;0,MAX($A$60:A250)+1,"")</f>
        <v/>
      </c>
      <c r="B251" s="87" t="str">
        <f t="shared" si="12"/>
        <v/>
      </c>
      <c r="C251" s="84"/>
      <c r="D251" s="88"/>
    </row>
    <row r="252" spans="1:4" ht="20.100000000000001" customHeight="1">
      <c r="A252" s="90" t="str">
        <f>IF(LEN(J39)&gt;0,MAX($A$60:A251)+1,"")</f>
        <v/>
      </c>
      <c r="B252" s="87" t="str">
        <f t="shared" si="12"/>
        <v/>
      </c>
      <c r="C252" s="84"/>
      <c r="D252" s="88"/>
    </row>
    <row r="253" spans="1:4" ht="20.100000000000001" customHeight="1">
      <c r="A253" s="90" t="str">
        <f>IF(LEN(J40)&gt;0,MAX($A$60:A252)+1,"")</f>
        <v/>
      </c>
      <c r="B253" s="87" t="str">
        <f t="shared" si="12"/>
        <v/>
      </c>
      <c r="C253" s="84"/>
      <c r="D253" s="88"/>
    </row>
    <row r="254" spans="1:4" ht="20.100000000000001" customHeight="1">
      <c r="A254" s="90" t="str">
        <f>IF(LEN(J41)&gt;0,MAX($A$60:A253)+1,"")</f>
        <v/>
      </c>
      <c r="B254" s="87" t="str">
        <f t="shared" si="12"/>
        <v/>
      </c>
      <c r="C254" s="84"/>
      <c r="D254" s="88"/>
    </row>
    <row r="255" spans="1:4" ht="20.100000000000001" customHeight="1">
      <c r="A255" s="90" t="str">
        <f>IF(LEN(J42)&gt;0,MAX($A$60:A254)+1,"")</f>
        <v/>
      </c>
      <c r="B255" s="87" t="str">
        <f t="shared" si="12"/>
        <v/>
      </c>
      <c r="C255" s="84"/>
      <c r="D255" s="83"/>
    </row>
    <row r="256" spans="1:4" ht="20.100000000000001" customHeight="1">
      <c r="A256" s="90" t="str">
        <f>IF(LEN(J43)&gt;0,MAX($A$60:A255)+1,"")</f>
        <v/>
      </c>
      <c r="B256" s="87" t="str">
        <f t="shared" si="12"/>
        <v/>
      </c>
      <c r="C256" s="84"/>
      <c r="D256" s="83"/>
    </row>
    <row r="257" spans="1:12" s="81" customFormat="1" ht="20.100000000000001" customHeight="1">
      <c r="A257" s="90" t="str">
        <f>IF(LEN(J44)&gt;0,MAX($A$60:A256)+1,"")</f>
        <v/>
      </c>
      <c r="B257" s="87" t="str">
        <f t="shared" si="12"/>
        <v/>
      </c>
      <c r="C257" s="84"/>
      <c r="D257" s="83"/>
      <c r="E257" s="77"/>
      <c r="F257" s="91"/>
      <c r="G257" s="91"/>
      <c r="H257" s="91"/>
      <c r="I257" s="91"/>
      <c r="J257" s="91"/>
      <c r="K257" s="91"/>
      <c r="L257" s="91"/>
    </row>
    <row r="258" spans="1:12" s="81" customFormat="1" ht="20.100000000000001" customHeight="1">
      <c r="A258" s="90" t="str">
        <f>IF(LEN(J45)&gt;0,MAX($A$60:A257)+1,"")</f>
        <v/>
      </c>
      <c r="B258" s="87" t="str">
        <f t="shared" si="12"/>
        <v/>
      </c>
      <c r="C258" s="84"/>
      <c r="D258" s="83"/>
      <c r="E258" s="77"/>
      <c r="F258" s="91"/>
      <c r="G258" s="91"/>
      <c r="H258" s="91"/>
      <c r="I258" s="91"/>
      <c r="J258" s="91"/>
      <c r="K258" s="91"/>
      <c r="L258" s="91"/>
    </row>
    <row r="259" spans="1:12" ht="20.100000000000001" customHeight="1">
      <c r="A259" s="90" t="str">
        <f>IF(LEN(J46)&gt;0,MAX($A$60:A258)+1,"")</f>
        <v/>
      </c>
      <c r="B259" s="87" t="str">
        <f t="shared" ref="B259" si="13">IF(LEN(J46)&gt;0,J46,"")</f>
        <v/>
      </c>
      <c r="C259" s="84"/>
      <c r="D259" s="83"/>
    </row>
    <row r="260" spans="1:12" ht="20.100000000000001" customHeight="1">
      <c r="A260" s="90">
        <f>IF(LEN(K27)&gt;0,MAX($A$60:A259)+1,"")</f>
        <v>21</v>
      </c>
      <c r="B260" s="87" t="str">
        <f>IF(LEN(K27)&gt;0,K27,"")</f>
        <v>잡화구입비</v>
      </c>
      <c r="C260" s="84">
        <f>IF(SUM(A260:A279)&gt;0,MIN(A260:A279))</f>
        <v>21</v>
      </c>
      <c r="D260" s="88" t="str">
        <f>IF(SUM(A260:A279)&gt;0,K26)</f>
        <v>기타지출</v>
      </c>
    </row>
    <row r="261" spans="1:12" ht="20.100000000000001" customHeight="1">
      <c r="A261" s="90">
        <f>IF(LEN(K28)&gt;0,MAX($A$60:A260)+1,"")</f>
        <v>22</v>
      </c>
      <c r="B261" s="87" t="str">
        <f t="shared" ref="B261:B279" si="14">IF(LEN(K28)&gt;0,K28,"")</f>
        <v>비품구입비</v>
      </c>
      <c r="C261" s="84"/>
      <c r="D261" s="88"/>
    </row>
    <row r="262" spans="1:12" ht="20.100000000000001" customHeight="1">
      <c r="A262" s="90">
        <f>IF(LEN(K29)&gt;0,MAX($A$60:A261)+1,"")</f>
        <v>23</v>
      </c>
      <c r="B262" s="87" t="str">
        <f t="shared" si="14"/>
        <v>기타</v>
      </c>
      <c r="C262" s="84"/>
      <c r="D262" s="88"/>
    </row>
    <row r="263" spans="1:12" ht="20.100000000000001" customHeight="1">
      <c r="A263" s="90" t="str">
        <f>IF(LEN(K30)&gt;0,MAX($A$60:A262)+1,"")</f>
        <v/>
      </c>
      <c r="B263" s="87" t="str">
        <f t="shared" si="14"/>
        <v/>
      </c>
      <c r="C263" s="84"/>
      <c r="D263" s="88"/>
    </row>
    <row r="264" spans="1:12" ht="20.100000000000001" customHeight="1">
      <c r="A264" s="90" t="str">
        <f>IF(LEN(K31)&gt;0,MAX($A$60:A263)+1,"")</f>
        <v/>
      </c>
      <c r="B264" s="87" t="str">
        <f t="shared" si="14"/>
        <v/>
      </c>
      <c r="C264" s="84"/>
      <c r="D264" s="88"/>
    </row>
    <row r="265" spans="1:12" ht="20.100000000000001" customHeight="1">
      <c r="A265" s="90" t="str">
        <f>IF(LEN(K32)&gt;0,MAX($A$60:A264)+1,"")</f>
        <v/>
      </c>
      <c r="B265" s="87" t="str">
        <f t="shared" si="14"/>
        <v/>
      </c>
      <c r="C265" s="84"/>
      <c r="D265" s="88"/>
    </row>
    <row r="266" spans="1:12" ht="20.100000000000001" customHeight="1">
      <c r="A266" s="90" t="str">
        <f>IF(LEN(K33)&gt;0,MAX($A$60:A265)+1,"")</f>
        <v/>
      </c>
      <c r="B266" s="87" t="str">
        <f t="shared" si="14"/>
        <v/>
      </c>
      <c r="C266" s="84"/>
      <c r="D266" s="88"/>
    </row>
    <row r="267" spans="1:12" ht="20.100000000000001" customHeight="1">
      <c r="A267" s="90" t="str">
        <f>IF(LEN(K34)&gt;0,MAX($A$60:A266)+1,"")</f>
        <v/>
      </c>
      <c r="B267" s="87" t="str">
        <f t="shared" si="14"/>
        <v/>
      </c>
      <c r="C267" s="84"/>
      <c r="D267" s="88"/>
    </row>
    <row r="268" spans="1:12" ht="20.100000000000001" customHeight="1">
      <c r="A268" s="90" t="str">
        <f>IF(LEN(K35)&gt;0,MAX($A$60:A267)+1,"")</f>
        <v/>
      </c>
      <c r="B268" s="87" t="str">
        <f t="shared" si="14"/>
        <v/>
      </c>
      <c r="C268" s="84"/>
      <c r="D268" s="88"/>
    </row>
    <row r="269" spans="1:12" ht="20.100000000000001" customHeight="1">
      <c r="A269" s="90" t="str">
        <f>IF(LEN(K36)&gt;0,MAX($A$60:A268)+1,"")</f>
        <v/>
      </c>
      <c r="B269" s="87" t="str">
        <f t="shared" si="14"/>
        <v/>
      </c>
      <c r="C269" s="84"/>
      <c r="D269" s="88"/>
    </row>
    <row r="270" spans="1:12" ht="20.100000000000001" customHeight="1">
      <c r="A270" s="90" t="str">
        <f>IF(LEN(K37)&gt;0,MAX($A$60:A269)+1,"")</f>
        <v/>
      </c>
      <c r="B270" s="87" t="str">
        <f t="shared" si="14"/>
        <v/>
      </c>
      <c r="C270" s="84"/>
      <c r="D270" s="88"/>
    </row>
    <row r="271" spans="1:12" ht="20.100000000000001" customHeight="1">
      <c r="A271" s="90" t="str">
        <f>IF(LEN(K38)&gt;0,MAX($A$60:A270)+1,"")</f>
        <v/>
      </c>
      <c r="B271" s="87" t="str">
        <f t="shared" si="14"/>
        <v/>
      </c>
      <c r="C271" s="84"/>
      <c r="D271" s="88"/>
    </row>
    <row r="272" spans="1:12" ht="20.100000000000001" customHeight="1">
      <c r="A272" s="90" t="str">
        <f>IF(LEN(K39)&gt;0,MAX($A$60:A271)+1,"")</f>
        <v/>
      </c>
      <c r="B272" s="87" t="str">
        <f t="shared" si="14"/>
        <v/>
      </c>
      <c r="C272" s="84"/>
      <c r="D272" s="88"/>
    </row>
    <row r="273" spans="1:4" ht="20.100000000000001" customHeight="1">
      <c r="A273" s="90" t="str">
        <f>IF(LEN(K40)&gt;0,MAX($A$60:A272)+1,"")</f>
        <v/>
      </c>
      <c r="B273" s="87" t="str">
        <f t="shared" si="14"/>
        <v/>
      </c>
      <c r="C273" s="84"/>
      <c r="D273" s="88"/>
    </row>
    <row r="274" spans="1:4" ht="20.100000000000001" customHeight="1">
      <c r="A274" s="90" t="str">
        <f>IF(LEN(K41)&gt;0,MAX($A$60:A273)+1,"")</f>
        <v/>
      </c>
      <c r="B274" s="87" t="str">
        <f t="shared" si="14"/>
        <v/>
      </c>
      <c r="C274" s="84"/>
      <c r="D274" s="88"/>
    </row>
    <row r="275" spans="1:4" ht="20.100000000000001" customHeight="1">
      <c r="A275" s="90" t="str">
        <f>IF(LEN(K42)&gt;0,MAX($A$60:A274)+1,"")</f>
        <v/>
      </c>
      <c r="B275" s="87" t="str">
        <f t="shared" si="14"/>
        <v/>
      </c>
      <c r="C275" s="84"/>
      <c r="D275" s="83"/>
    </row>
    <row r="276" spans="1:4" ht="20.100000000000001" customHeight="1">
      <c r="A276" s="90" t="str">
        <f>IF(LEN(K43)&gt;0,MAX($A$60:A275)+1,"")</f>
        <v/>
      </c>
      <c r="B276" s="87" t="str">
        <f t="shared" si="14"/>
        <v/>
      </c>
      <c r="C276" s="84"/>
      <c r="D276" s="83"/>
    </row>
    <row r="277" spans="1:4" ht="20.100000000000001" customHeight="1">
      <c r="A277" s="90" t="str">
        <f>IF(LEN(K44)&gt;0,MAX($A$60:A276)+1,"")</f>
        <v/>
      </c>
      <c r="B277" s="87" t="str">
        <f t="shared" si="14"/>
        <v/>
      </c>
      <c r="C277" s="84"/>
      <c r="D277" s="83"/>
    </row>
    <row r="278" spans="1:4" ht="20.100000000000001" customHeight="1">
      <c r="A278" s="90" t="str">
        <f>IF(LEN(K45)&gt;0,MAX($A$60:A277)+1,"")</f>
        <v/>
      </c>
      <c r="B278" s="87" t="str">
        <f t="shared" si="14"/>
        <v/>
      </c>
      <c r="C278" s="84"/>
      <c r="D278" s="83"/>
    </row>
    <row r="279" spans="1:4" ht="20.100000000000001" customHeight="1">
      <c r="A279" s="90" t="str">
        <f>IF(LEN(K46)&gt;0,MAX($A$60:A278)+1,"")</f>
        <v/>
      </c>
      <c r="B279" s="87" t="str">
        <f t="shared" si="14"/>
        <v/>
      </c>
      <c r="C279" s="84"/>
      <c r="D279" s="83"/>
    </row>
    <row r="280" spans="1:4" ht="20.100000000000001" customHeight="1">
      <c r="A280" s="90" t="str">
        <f>IF(LEN(L27)&gt;0,MAX($A$60:A279)+1,"")</f>
        <v/>
      </c>
      <c r="B280" s="87" t="str">
        <f>IF(LEN(L27)&gt;0,L27,"")</f>
        <v/>
      </c>
      <c r="C280" s="84" t="b">
        <f>IF(SUM(A280:A299)&gt;0,MIN(A280:A299))</f>
        <v>0</v>
      </c>
      <c r="D280" s="88" t="b">
        <f>IF(SUM(A280:A299)&gt;0,L26)</f>
        <v>0</v>
      </c>
    </row>
    <row r="281" spans="1:4" ht="20.100000000000001" customHeight="1">
      <c r="A281" s="90" t="str">
        <f>IF(LEN(L28)&gt;0,MAX($A$60:A280)+1,"")</f>
        <v/>
      </c>
      <c r="B281" s="87" t="str">
        <f t="shared" ref="B281:B299" si="15">IF(LEN(L28)&gt;0,L28,"")</f>
        <v/>
      </c>
      <c r="C281" s="84"/>
      <c r="D281" s="88"/>
    </row>
    <row r="282" spans="1:4" ht="20.100000000000001" customHeight="1">
      <c r="A282" s="90" t="str">
        <f>IF(LEN(L29)&gt;0,MAX($A$60:A281)+1,"")</f>
        <v/>
      </c>
      <c r="B282" s="87" t="str">
        <f t="shared" si="15"/>
        <v/>
      </c>
      <c r="C282" s="84"/>
      <c r="D282" s="88"/>
    </row>
    <row r="283" spans="1:4" ht="20.100000000000001" customHeight="1">
      <c r="A283" s="90" t="str">
        <f>IF(LEN(L30)&gt;0,MAX($A$60:A282)+1,"")</f>
        <v/>
      </c>
      <c r="B283" s="87" t="str">
        <f t="shared" si="15"/>
        <v/>
      </c>
      <c r="C283" s="84"/>
      <c r="D283" s="88"/>
    </row>
    <row r="284" spans="1:4" ht="20.100000000000001" customHeight="1">
      <c r="A284" s="90" t="str">
        <f>IF(LEN(L31)&gt;0,MAX($A$60:A283)+1,"")</f>
        <v/>
      </c>
      <c r="B284" s="87" t="str">
        <f t="shared" si="15"/>
        <v/>
      </c>
      <c r="C284" s="84"/>
      <c r="D284" s="88"/>
    </row>
    <row r="285" spans="1:4" ht="20.100000000000001" customHeight="1">
      <c r="A285" s="90" t="str">
        <f>IF(LEN(L32)&gt;0,MAX($A$60:A284)+1,"")</f>
        <v/>
      </c>
      <c r="B285" s="87" t="str">
        <f t="shared" si="15"/>
        <v/>
      </c>
      <c r="C285" s="84"/>
      <c r="D285" s="88"/>
    </row>
    <row r="286" spans="1:4" ht="20.100000000000001" customHeight="1">
      <c r="A286" s="90" t="str">
        <f>IF(LEN(L33)&gt;0,MAX($A$60:A285)+1,"")</f>
        <v/>
      </c>
      <c r="B286" s="87" t="str">
        <f t="shared" si="15"/>
        <v/>
      </c>
      <c r="C286" s="84"/>
      <c r="D286" s="88"/>
    </row>
    <row r="287" spans="1:4" ht="20.100000000000001" customHeight="1">
      <c r="A287" s="90" t="str">
        <f>IF(LEN(L34)&gt;0,MAX($A$60:A286)+1,"")</f>
        <v/>
      </c>
      <c r="B287" s="87" t="str">
        <f t="shared" si="15"/>
        <v/>
      </c>
      <c r="C287" s="84"/>
      <c r="D287" s="88"/>
    </row>
    <row r="288" spans="1:4" ht="20.100000000000001" customHeight="1">
      <c r="A288" s="90" t="str">
        <f>IF(LEN(L35)&gt;0,MAX($A$60:A287)+1,"")</f>
        <v/>
      </c>
      <c r="B288" s="87" t="str">
        <f t="shared" si="15"/>
        <v/>
      </c>
      <c r="C288" s="84"/>
      <c r="D288" s="88"/>
    </row>
    <row r="289" spans="1:4" ht="20.100000000000001" customHeight="1">
      <c r="A289" s="90" t="str">
        <f>IF(LEN(L36)&gt;0,MAX($A$60:A288)+1,"")</f>
        <v/>
      </c>
      <c r="B289" s="87" t="str">
        <f t="shared" si="15"/>
        <v/>
      </c>
      <c r="C289" s="84"/>
      <c r="D289" s="88"/>
    </row>
    <row r="290" spans="1:4" ht="20.100000000000001" customHeight="1">
      <c r="A290" s="90" t="str">
        <f>IF(LEN(L37)&gt;0,MAX($A$60:A289)+1,"")</f>
        <v/>
      </c>
      <c r="B290" s="87" t="str">
        <f t="shared" si="15"/>
        <v/>
      </c>
      <c r="C290" s="84"/>
      <c r="D290" s="88"/>
    </row>
    <row r="291" spans="1:4" ht="20.100000000000001" customHeight="1">
      <c r="A291" s="90" t="str">
        <f>IF(LEN(L38)&gt;0,MAX($A$60:A290)+1,"")</f>
        <v/>
      </c>
      <c r="B291" s="87" t="str">
        <f t="shared" si="15"/>
        <v/>
      </c>
      <c r="C291" s="84"/>
      <c r="D291" s="88"/>
    </row>
    <row r="292" spans="1:4" ht="20.100000000000001" customHeight="1">
      <c r="A292" s="90" t="str">
        <f>IF(LEN(L39)&gt;0,MAX($A$60:A291)+1,"")</f>
        <v/>
      </c>
      <c r="B292" s="87" t="str">
        <f t="shared" si="15"/>
        <v/>
      </c>
      <c r="C292" s="84"/>
      <c r="D292" s="88"/>
    </row>
    <row r="293" spans="1:4" ht="20.100000000000001" customHeight="1">
      <c r="A293" s="90" t="str">
        <f>IF(LEN(L40)&gt;0,MAX($A$60:A292)+1,"")</f>
        <v/>
      </c>
      <c r="B293" s="87" t="str">
        <f t="shared" si="15"/>
        <v/>
      </c>
      <c r="C293" s="84"/>
      <c r="D293" s="88"/>
    </row>
    <row r="294" spans="1:4" ht="20.100000000000001" customHeight="1">
      <c r="A294" s="90" t="str">
        <f>IF(LEN(L41)&gt;0,MAX($A$60:A293)+1,"")</f>
        <v/>
      </c>
      <c r="B294" s="87" t="str">
        <f t="shared" si="15"/>
        <v/>
      </c>
      <c r="C294" s="84"/>
      <c r="D294" s="88"/>
    </row>
    <row r="295" spans="1:4" ht="20.100000000000001" customHeight="1">
      <c r="A295" s="90" t="str">
        <f>IF(LEN(L42)&gt;0,MAX($A$60:A294)+1,"")</f>
        <v/>
      </c>
      <c r="B295" s="87" t="str">
        <f t="shared" si="15"/>
        <v/>
      </c>
      <c r="C295" s="84"/>
      <c r="D295" s="83"/>
    </row>
    <row r="296" spans="1:4" ht="20.100000000000001" customHeight="1">
      <c r="A296" s="90" t="str">
        <f>IF(LEN(L43)&gt;0,MAX($A$60:A295)+1,"")</f>
        <v/>
      </c>
      <c r="B296" s="87" t="str">
        <f t="shared" si="15"/>
        <v/>
      </c>
      <c r="C296" s="84"/>
      <c r="D296" s="83"/>
    </row>
    <row r="297" spans="1:4" ht="20.100000000000001" customHeight="1">
      <c r="A297" s="90" t="str">
        <f>IF(LEN(L44)&gt;0,MAX($A$60:A296)+1,"")</f>
        <v/>
      </c>
      <c r="B297" s="87" t="str">
        <f t="shared" si="15"/>
        <v/>
      </c>
      <c r="C297" s="84"/>
      <c r="D297" s="83"/>
    </row>
    <row r="298" spans="1:4" ht="20.100000000000001" customHeight="1">
      <c r="A298" s="90" t="str">
        <f>IF(LEN(L45)&gt;0,MAX($A$60:A297)+1,"")</f>
        <v/>
      </c>
      <c r="B298" s="87" t="str">
        <f t="shared" si="15"/>
        <v/>
      </c>
      <c r="C298" s="84"/>
      <c r="D298" s="83"/>
    </row>
    <row r="299" spans="1:4" ht="20.100000000000001" customHeight="1">
      <c r="A299" s="90" t="str">
        <f>IF(LEN(L46)&gt;0,MAX($A$60:A298)+1,"")</f>
        <v/>
      </c>
      <c r="B299" s="87" t="str">
        <f t="shared" si="15"/>
        <v/>
      </c>
      <c r="C299" s="84"/>
      <c r="D299" s="83"/>
    </row>
    <row r="300" spans="1:4" ht="20.100000000000001" customHeight="1">
      <c r="A300" s="90" t="str">
        <f>IF(LEN(M27)&gt;0,MAX($A$60:A299)+1,"")</f>
        <v/>
      </c>
      <c r="B300" s="87" t="str">
        <f>IF(LEN(M27)&gt;0,M27,"")</f>
        <v/>
      </c>
      <c r="C300" s="84" t="b">
        <f>IF(SUM(A300:A319)&gt;0,MIN(A300:A319))</f>
        <v>0</v>
      </c>
      <c r="D300" s="88" t="b">
        <f>IF(SUM(A300:A319)&gt;0,M26)</f>
        <v>0</v>
      </c>
    </row>
    <row r="301" spans="1:4" ht="20.100000000000001" customHeight="1">
      <c r="A301" s="90" t="str">
        <f>IF(LEN(M28)&gt;0,MAX($A$60:A300)+1,"")</f>
        <v/>
      </c>
      <c r="B301" s="87" t="str">
        <f t="shared" ref="B301:B319" si="16">IF(LEN(M28)&gt;0,M28,"")</f>
        <v/>
      </c>
      <c r="C301" s="84"/>
      <c r="D301" s="88"/>
    </row>
    <row r="302" spans="1:4" ht="20.100000000000001" customHeight="1">
      <c r="A302" s="90" t="str">
        <f>IF(LEN(M29)&gt;0,MAX($A$60:A301)+1,"")</f>
        <v/>
      </c>
      <c r="B302" s="87" t="str">
        <f t="shared" si="16"/>
        <v/>
      </c>
      <c r="C302" s="84"/>
      <c r="D302" s="88"/>
    </row>
    <row r="303" spans="1:4" ht="20.100000000000001" customHeight="1">
      <c r="A303" s="90" t="str">
        <f>IF(LEN(M30)&gt;0,MAX($A$60:A302)+1,"")</f>
        <v/>
      </c>
      <c r="B303" s="87" t="str">
        <f t="shared" si="16"/>
        <v/>
      </c>
      <c r="C303" s="84"/>
      <c r="D303" s="88"/>
    </row>
    <row r="304" spans="1:4" ht="20.100000000000001" customHeight="1">
      <c r="A304" s="90" t="str">
        <f>IF(LEN(M31)&gt;0,MAX($A$60:A303)+1,"")</f>
        <v/>
      </c>
      <c r="B304" s="87" t="str">
        <f t="shared" si="16"/>
        <v/>
      </c>
      <c r="C304" s="84"/>
      <c r="D304" s="88"/>
    </row>
    <row r="305" spans="1:4" ht="20.100000000000001" customHeight="1">
      <c r="A305" s="90" t="str">
        <f>IF(LEN(M32)&gt;0,MAX($A$60:A304)+1,"")</f>
        <v/>
      </c>
      <c r="B305" s="87" t="str">
        <f t="shared" si="16"/>
        <v/>
      </c>
      <c r="C305" s="84"/>
      <c r="D305" s="88"/>
    </row>
    <row r="306" spans="1:4" ht="20.100000000000001" customHeight="1">
      <c r="A306" s="90" t="str">
        <f>IF(LEN(M33)&gt;0,MAX($A$60:A305)+1,"")</f>
        <v/>
      </c>
      <c r="B306" s="87" t="str">
        <f t="shared" si="16"/>
        <v/>
      </c>
      <c r="C306" s="84"/>
      <c r="D306" s="88"/>
    </row>
    <row r="307" spans="1:4" ht="20.100000000000001" customHeight="1">
      <c r="A307" s="90" t="str">
        <f>IF(LEN(M34)&gt;0,MAX($A$60:A306)+1,"")</f>
        <v/>
      </c>
      <c r="B307" s="87" t="str">
        <f t="shared" si="16"/>
        <v/>
      </c>
      <c r="C307" s="84"/>
      <c r="D307" s="88"/>
    </row>
    <row r="308" spans="1:4" ht="20.100000000000001" customHeight="1">
      <c r="A308" s="90" t="str">
        <f>IF(LEN(M35)&gt;0,MAX($A$60:A307)+1,"")</f>
        <v/>
      </c>
      <c r="B308" s="87" t="str">
        <f t="shared" si="16"/>
        <v/>
      </c>
      <c r="C308" s="84"/>
      <c r="D308" s="88"/>
    </row>
    <row r="309" spans="1:4" ht="20.100000000000001" customHeight="1">
      <c r="A309" s="90" t="str">
        <f>IF(LEN(M36)&gt;0,MAX($A$60:A308)+1,"")</f>
        <v/>
      </c>
      <c r="B309" s="87" t="str">
        <f t="shared" si="16"/>
        <v/>
      </c>
      <c r="C309" s="84"/>
      <c r="D309" s="88"/>
    </row>
    <row r="310" spans="1:4" ht="20.100000000000001" customHeight="1">
      <c r="A310" s="90" t="str">
        <f>IF(LEN(M37)&gt;0,MAX($A$60:A309)+1,"")</f>
        <v/>
      </c>
      <c r="B310" s="87" t="str">
        <f t="shared" si="16"/>
        <v/>
      </c>
      <c r="C310" s="84"/>
      <c r="D310" s="88"/>
    </row>
    <row r="311" spans="1:4" ht="20.100000000000001" customHeight="1">
      <c r="A311" s="90" t="str">
        <f>IF(LEN(M38)&gt;0,MAX($A$60:A310)+1,"")</f>
        <v/>
      </c>
      <c r="B311" s="87" t="str">
        <f t="shared" si="16"/>
        <v/>
      </c>
      <c r="C311" s="84"/>
      <c r="D311" s="88"/>
    </row>
    <row r="312" spans="1:4" ht="20.100000000000001" customHeight="1">
      <c r="A312" s="90" t="str">
        <f>IF(LEN(M39)&gt;0,MAX($A$60:A311)+1,"")</f>
        <v/>
      </c>
      <c r="B312" s="87" t="str">
        <f>IF(LEN(M39)&gt;0,M39,"")</f>
        <v/>
      </c>
      <c r="C312" s="84"/>
      <c r="D312" s="88"/>
    </row>
    <row r="313" spans="1:4" ht="20.100000000000001" customHeight="1">
      <c r="A313" s="90" t="str">
        <f>IF(LEN(M40)&gt;0,MAX($A$60:A312)+1,"")</f>
        <v/>
      </c>
      <c r="B313" s="87" t="str">
        <f t="shared" si="16"/>
        <v/>
      </c>
      <c r="C313" s="84"/>
      <c r="D313" s="88"/>
    </row>
    <row r="314" spans="1:4" ht="20.100000000000001" customHeight="1">
      <c r="A314" s="90" t="str">
        <f>IF(LEN(M41)&gt;0,MAX($A$60:A313)+1,"")</f>
        <v/>
      </c>
      <c r="B314" s="87" t="str">
        <f t="shared" si="16"/>
        <v/>
      </c>
      <c r="C314" s="84"/>
      <c r="D314" s="88"/>
    </row>
    <row r="315" spans="1:4" ht="20.100000000000001" customHeight="1">
      <c r="A315" s="90" t="str">
        <f>IF(LEN(M42)&gt;0,MAX($A$60:A314)+1,"")</f>
        <v/>
      </c>
      <c r="B315" s="87" t="str">
        <f t="shared" si="16"/>
        <v/>
      </c>
      <c r="C315" s="84"/>
      <c r="D315" s="83"/>
    </row>
    <row r="316" spans="1:4" ht="20.100000000000001" customHeight="1">
      <c r="A316" s="90" t="str">
        <f>IF(LEN(M43)&gt;0,MAX($A$60:A315)+1,"")</f>
        <v/>
      </c>
      <c r="B316" s="87" t="str">
        <f t="shared" si="16"/>
        <v/>
      </c>
      <c r="C316" s="84"/>
      <c r="D316" s="83"/>
    </row>
    <row r="317" spans="1:4" ht="20.100000000000001" customHeight="1">
      <c r="A317" s="90" t="str">
        <f>IF(LEN(M44)&gt;0,MAX($A$60:A316)+1,"")</f>
        <v/>
      </c>
      <c r="B317" s="87" t="str">
        <f t="shared" si="16"/>
        <v/>
      </c>
      <c r="C317" s="84"/>
      <c r="D317" s="83"/>
    </row>
    <row r="318" spans="1:4" ht="20.100000000000001" customHeight="1">
      <c r="A318" s="90" t="str">
        <f>IF(LEN(M45)&gt;0,MAX($A$60:A317)+1,"")</f>
        <v/>
      </c>
      <c r="B318" s="87" t="str">
        <f t="shared" si="16"/>
        <v/>
      </c>
      <c r="C318" s="84"/>
      <c r="D318" s="83"/>
    </row>
    <row r="319" spans="1:4" ht="20.100000000000001" customHeight="1">
      <c r="A319" s="90" t="str">
        <f>IF(LEN(M46)&gt;0,MAX($A$60:A318)+1,"")</f>
        <v/>
      </c>
      <c r="B319" s="87" t="str">
        <f t="shared" si="16"/>
        <v/>
      </c>
      <c r="C319" s="84"/>
      <c r="D319" s="83"/>
    </row>
    <row r="320" spans="1:4" ht="20.100000000000001" customHeight="1">
      <c r="A320" s="90" t="str">
        <f>IF(LEN(N27)&gt;0,MAX($A$60:A319)+1,"")</f>
        <v/>
      </c>
      <c r="B320" s="87" t="str">
        <f>IF(LEN(N27)&gt;0,N27,"")</f>
        <v/>
      </c>
      <c r="C320" s="84" t="b">
        <f>IF(SUM(A320:A339)&gt;0,MIN(A320:A339))</f>
        <v>0</v>
      </c>
      <c r="D320" s="88" t="b">
        <f>IF(SUM(A320:A339)&gt;0,N26)</f>
        <v>0</v>
      </c>
    </row>
    <row r="321" spans="1:4" ht="20.100000000000001" customHeight="1">
      <c r="A321" s="90" t="str">
        <f>IF(LEN(N28)&gt;0,MAX($A$60:A320)+1,"")</f>
        <v/>
      </c>
      <c r="B321" s="87" t="str">
        <f t="shared" ref="B321:B339" si="17">IF(LEN(N28)&gt;0,N28,"")</f>
        <v/>
      </c>
      <c r="C321" s="84"/>
      <c r="D321" s="88"/>
    </row>
    <row r="322" spans="1:4" ht="20.100000000000001" customHeight="1">
      <c r="A322" s="90" t="str">
        <f>IF(LEN(N29)&gt;0,MAX($A$60:A321)+1,"")</f>
        <v/>
      </c>
      <c r="B322" s="87" t="str">
        <f t="shared" si="17"/>
        <v/>
      </c>
      <c r="C322" s="84"/>
      <c r="D322" s="88"/>
    </row>
    <row r="323" spans="1:4" ht="20.100000000000001" customHeight="1">
      <c r="A323" s="90" t="str">
        <f>IF(LEN(N30)&gt;0,MAX($A$60:A322)+1,"")</f>
        <v/>
      </c>
      <c r="B323" s="87" t="str">
        <f t="shared" si="17"/>
        <v/>
      </c>
      <c r="C323" s="84"/>
      <c r="D323" s="88"/>
    </row>
    <row r="324" spans="1:4" ht="20.100000000000001" customHeight="1">
      <c r="A324" s="90" t="str">
        <f>IF(LEN(N31)&gt;0,MAX($A$60:A323)+1,"")</f>
        <v/>
      </c>
      <c r="B324" s="87" t="str">
        <f t="shared" si="17"/>
        <v/>
      </c>
      <c r="C324" s="84"/>
      <c r="D324" s="88"/>
    </row>
    <row r="325" spans="1:4" ht="20.100000000000001" customHeight="1">
      <c r="A325" s="90" t="str">
        <f>IF(LEN(N32)&gt;0,MAX($A$60:A324)+1,"")</f>
        <v/>
      </c>
      <c r="B325" s="87" t="str">
        <f t="shared" si="17"/>
        <v/>
      </c>
      <c r="C325" s="84"/>
      <c r="D325" s="88"/>
    </row>
    <row r="326" spans="1:4" ht="20.100000000000001" customHeight="1">
      <c r="A326" s="90" t="str">
        <f>IF(LEN(N33)&gt;0,MAX($A$60:A325)+1,"")</f>
        <v/>
      </c>
      <c r="B326" s="87" t="str">
        <f t="shared" si="17"/>
        <v/>
      </c>
      <c r="C326" s="84"/>
      <c r="D326" s="88"/>
    </row>
    <row r="327" spans="1:4" ht="20.100000000000001" customHeight="1">
      <c r="A327" s="90" t="str">
        <f>IF(LEN(N34)&gt;0,MAX($A$60:A326)+1,"")</f>
        <v/>
      </c>
      <c r="B327" s="87" t="str">
        <f t="shared" si="17"/>
        <v/>
      </c>
      <c r="C327" s="84"/>
      <c r="D327" s="88"/>
    </row>
    <row r="328" spans="1:4" ht="20.100000000000001" customHeight="1">
      <c r="A328" s="90" t="str">
        <f>IF(LEN(N35)&gt;0,MAX($A$60:A327)+1,"")</f>
        <v/>
      </c>
      <c r="B328" s="87" t="str">
        <f t="shared" si="17"/>
        <v/>
      </c>
      <c r="C328" s="84"/>
      <c r="D328" s="88"/>
    </row>
    <row r="329" spans="1:4" ht="20.100000000000001" customHeight="1">
      <c r="A329" s="90" t="str">
        <f>IF(LEN(N36)&gt;0,MAX($A$60:A328)+1,"")</f>
        <v/>
      </c>
      <c r="B329" s="87" t="str">
        <f t="shared" si="17"/>
        <v/>
      </c>
      <c r="C329" s="84"/>
      <c r="D329" s="88"/>
    </row>
    <row r="330" spans="1:4" ht="20.100000000000001" customHeight="1">
      <c r="A330" s="90" t="str">
        <f>IF(LEN(N37)&gt;0,MAX($A$60:A329)+1,"")</f>
        <v/>
      </c>
      <c r="B330" s="87" t="str">
        <f t="shared" si="17"/>
        <v/>
      </c>
      <c r="C330" s="84"/>
      <c r="D330" s="88"/>
    </row>
    <row r="331" spans="1:4" ht="20.100000000000001" customHeight="1">
      <c r="A331" s="90" t="str">
        <f>IF(LEN(N38)&gt;0,MAX($A$60:A330)+1,"")</f>
        <v/>
      </c>
      <c r="B331" s="87" t="str">
        <f t="shared" si="17"/>
        <v/>
      </c>
      <c r="C331" s="84"/>
      <c r="D331" s="88"/>
    </row>
    <row r="332" spans="1:4" ht="20.100000000000001" customHeight="1">
      <c r="A332" s="90" t="str">
        <f>IF(LEN(N39)&gt;0,MAX($A$60:A331)+1,"")</f>
        <v/>
      </c>
      <c r="B332" s="87" t="str">
        <f t="shared" si="17"/>
        <v/>
      </c>
      <c r="C332" s="84"/>
      <c r="D332" s="88"/>
    </row>
    <row r="333" spans="1:4" ht="20.100000000000001" customHeight="1">
      <c r="A333" s="90" t="str">
        <f>IF(LEN(N40)&gt;0,MAX($A$60:A332)+1,"")</f>
        <v/>
      </c>
      <c r="B333" s="87" t="str">
        <f t="shared" si="17"/>
        <v/>
      </c>
      <c r="C333" s="84"/>
      <c r="D333" s="88"/>
    </row>
    <row r="334" spans="1:4" ht="20.100000000000001" customHeight="1">
      <c r="A334" s="90" t="str">
        <f>IF(LEN(N41)&gt;0,MAX($A$60:A333)+1,"")</f>
        <v/>
      </c>
      <c r="B334" s="87" t="str">
        <f t="shared" si="17"/>
        <v/>
      </c>
      <c r="C334" s="84"/>
      <c r="D334" s="88"/>
    </row>
    <row r="335" spans="1:4" ht="20.100000000000001" customHeight="1">
      <c r="A335" s="90" t="str">
        <f>IF(LEN(N42)&gt;0,MAX($A$60:A334)+1,"")</f>
        <v/>
      </c>
      <c r="B335" s="87" t="str">
        <f t="shared" si="17"/>
        <v/>
      </c>
      <c r="C335" s="84"/>
      <c r="D335" s="83"/>
    </row>
    <row r="336" spans="1:4" ht="20.100000000000001" customHeight="1">
      <c r="A336" s="90" t="str">
        <f>IF(LEN(N43)&gt;0,MAX($A$60:A335)+1,"")</f>
        <v/>
      </c>
      <c r="B336" s="87" t="str">
        <f t="shared" si="17"/>
        <v/>
      </c>
      <c r="C336" s="84"/>
      <c r="D336" s="83"/>
    </row>
    <row r="337" spans="1:4" ht="20.100000000000001" customHeight="1">
      <c r="A337" s="90" t="str">
        <f>IF(LEN(N44)&gt;0,MAX($A$60:A336)+1,"")</f>
        <v/>
      </c>
      <c r="B337" s="87" t="str">
        <f t="shared" si="17"/>
        <v/>
      </c>
      <c r="C337" s="84"/>
      <c r="D337" s="83"/>
    </row>
    <row r="338" spans="1:4" ht="20.100000000000001" customHeight="1">
      <c r="A338" s="90" t="str">
        <f>IF(LEN(N45)&gt;0,MAX($A$60:A337)+1,"")</f>
        <v/>
      </c>
      <c r="B338" s="87" t="str">
        <f t="shared" si="17"/>
        <v/>
      </c>
      <c r="C338" s="84"/>
      <c r="D338" s="83"/>
    </row>
    <row r="339" spans="1:4" ht="20.100000000000001" customHeight="1">
      <c r="A339" s="90" t="str">
        <f>IF(LEN(N46)&gt;0,MAX($A$60:A338)+1,"")</f>
        <v/>
      </c>
      <c r="B339" s="87" t="str">
        <f t="shared" si="17"/>
        <v/>
      </c>
      <c r="C339" s="84"/>
      <c r="D339" s="83"/>
    </row>
    <row r="340" spans="1:4" ht="20.100000000000001" customHeight="1">
      <c r="A340" s="90" t="str">
        <f>IF(LEN(O27)&gt;0,MAX($A$60:A339)+1,"")</f>
        <v/>
      </c>
      <c r="B340" s="87" t="str">
        <f>IF(LEN(O27)&gt;0,O27,"")</f>
        <v/>
      </c>
      <c r="C340" s="84" t="b">
        <f>IF(SUM(A340:A359)&gt;0,MIN(A340:A359))</f>
        <v>0</v>
      </c>
      <c r="D340" s="88" t="b">
        <f>IF(SUM(A340:A359)&gt;0,O26)</f>
        <v>0</v>
      </c>
    </row>
    <row r="341" spans="1:4" ht="20.100000000000001" customHeight="1">
      <c r="A341" s="90" t="str">
        <f>IF(LEN(O28)&gt;0,MAX($A$60:A340)+1,"")</f>
        <v/>
      </c>
      <c r="B341" s="87" t="str">
        <f t="shared" ref="B341:B359" si="18">IF(LEN(O28)&gt;0,O28,"")</f>
        <v/>
      </c>
      <c r="C341" s="84"/>
      <c r="D341" s="88"/>
    </row>
    <row r="342" spans="1:4" ht="20.100000000000001" customHeight="1">
      <c r="A342" s="90" t="str">
        <f>IF(LEN(O29)&gt;0,MAX($A$60:A341)+1,"")</f>
        <v/>
      </c>
      <c r="B342" s="87" t="str">
        <f t="shared" si="18"/>
        <v/>
      </c>
      <c r="C342" s="84"/>
      <c r="D342" s="88"/>
    </row>
    <row r="343" spans="1:4" ht="20.100000000000001" customHeight="1">
      <c r="A343" s="90" t="str">
        <f>IF(LEN(O30)&gt;0,MAX($A$60:A342)+1,"")</f>
        <v/>
      </c>
      <c r="B343" s="87" t="str">
        <f t="shared" si="18"/>
        <v/>
      </c>
      <c r="C343" s="84"/>
      <c r="D343" s="88"/>
    </row>
    <row r="344" spans="1:4" ht="20.100000000000001" customHeight="1">
      <c r="A344" s="90" t="str">
        <f>IF(LEN(O31)&gt;0,MAX($A$60:A343)+1,"")</f>
        <v/>
      </c>
      <c r="B344" s="87" t="str">
        <f t="shared" si="18"/>
        <v/>
      </c>
      <c r="C344" s="84"/>
      <c r="D344" s="88"/>
    </row>
    <row r="345" spans="1:4" ht="20.100000000000001" customHeight="1">
      <c r="A345" s="90" t="str">
        <f>IF(LEN(O32)&gt;0,MAX($A$60:A344)+1,"")</f>
        <v/>
      </c>
      <c r="B345" s="87" t="str">
        <f t="shared" si="18"/>
        <v/>
      </c>
      <c r="C345" s="84"/>
      <c r="D345" s="88"/>
    </row>
    <row r="346" spans="1:4" ht="20.100000000000001" customHeight="1">
      <c r="A346" s="90" t="str">
        <f>IF(LEN(O33)&gt;0,MAX($A$60:A345)+1,"")</f>
        <v/>
      </c>
      <c r="B346" s="87" t="str">
        <f t="shared" si="18"/>
        <v/>
      </c>
      <c r="C346" s="84"/>
      <c r="D346" s="88"/>
    </row>
    <row r="347" spans="1:4" ht="20.100000000000001" customHeight="1">
      <c r="A347" s="90" t="str">
        <f>IF(LEN(O34)&gt;0,MAX($A$60:A346)+1,"")</f>
        <v/>
      </c>
      <c r="B347" s="87" t="str">
        <f t="shared" si="18"/>
        <v/>
      </c>
      <c r="C347" s="84"/>
      <c r="D347" s="88"/>
    </row>
    <row r="348" spans="1:4" ht="20.100000000000001" customHeight="1">
      <c r="A348" s="90" t="str">
        <f>IF(LEN(O35)&gt;0,MAX($A$60:A347)+1,"")</f>
        <v/>
      </c>
      <c r="B348" s="87" t="str">
        <f t="shared" si="18"/>
        <v/>
      </c>
      <c r="C348" s="84"/>
      <c r="D348" s="88"/>
    </row>
    <row r="349" spans="1:4" ht="20.100000000000001" customHeight="1">
      <c r="A349" s="90" t="str">
        <f>IF(LEN(O36)&gt;0,MAX($A$60:A348)+1,"")</f>
        <v/>
      </c>
      <c r="B349" s="87" t="str">
        <f t="shared" si="18"/>
        <v/>
      </c>
      <c r="C349" s="84"/>
      <c r="D349" s="88"/>
    </row>
    <row r="350" spans="1:4" ht="20.100000000000001" customHeight="1">
      <c r="A350" s="90" t="str">
        <f>IF(LEN(O37)&gt;0,MAX($A$60:A349)+1,"")</f>
        <v/>
      </c>
      <c r="B350" s="87" t="str">
        <f t="shared" si="18"/>
        <v/>
      </c>
      <c r="C350" s="84"/>
      <c r="D350" s="88"/>
    </row>
    <row r="351" spans="1:4" ht="20.100000000000001" customHeight="1">
      <c r="A351" s="90" t="str">
        <f>IF(LEN(O38)&gt;0,MAX($A$60:A350)+1,"")</f>
        <v/>
      </c>
      <c r="B351" s="87" t="str">
        <f t="shared" si="18"/>
        <v/>
      </c>
      <c r="C351" s="84"/>
      <c r="D351" s="88"/>
    </row>
    <row r="352" spans="1:4" ht="20.100000000000001" customHeight="1">
      <c r="A352" s="90" t="str">
        <f>IF(LEN(O39)&gt;0,MAX($A$60:A351)+1,"")</f>
        <v/>
      </c>
      <c r="B352" s="87" t="str">
        <f t="shared" si="18"/>
        <v/>
      </c>
      <c r="C352" s="84"/>
      <c r="D352" s="88"/>
    </row>
    <row r="353" spans="1:4" ht="20.100000000000001" customHeight="1">
      <c r="A353" s="90" t="str">
        <f>IF(LEN(O40)&gt;0,MAX($A$60:A352)+1,"")</f>
        <v/>
      </c>
      <c r="B353" s="87" t="str">
        <f t="shared" si="18"/>
        <v/>
      </c>
      <c r="C353" s="84"/>
      <c r="D353" s="88"/>
    </row>
    <row r="354" spans="1:4" ht="20.100000000000001" customHeight="1">
      <c r="A354" s="90" t="str">
        <f>IF(LEN(O41)&gt;0,MAX($A$60:A353)+1,"")</f>
        <v/>
      </c>
      <c r="B354" s="87" t="str">
        <f t="shared" si="18"/>
        <v/>
      </c>
      <c r="C354" s="84"/>
      <c r="D354" s="88"/>
    </row>
    <row r="355" spans="1:4" ht="20.100000000000001" customHeight="1">
      <c r="A355" s="90" t="str">
        <f>IF(LEN(O42)&gt;0,MAX($A$60:A354)+1,"")</f>
        <v/>
      </c>
      <c r="B355" s="87" t="str">
        <f t="shared" si="18"/>
        <v/>
      </c>
      <c r="C355" s="84"/>
      <c r="D355" s="83"/>
    </row>
    <row r="356" spans="1:4" ht="20.100000000000001" customHeight="1">
      <c r="A356" s="90" t="str">
        <f>IF(LEN(O43)&gt;0,MAX($A$60:A355)+1,"")</f>
        <v/>
      </c>
      <c r="B356" s="87" t="str">
        <f t="shared" si="18"/>
        <v/>
      </c>
      <c r="C356" s="84"/>
      <c r="D356" s="83"/>
    </row>
    <row r="357" spans="1:4" ht="20.100000000000001" customHeight="1">
      <c r="A357" s="90" t="str">
        <f>IF(LEN(O44)&gt;0,MAX($A$60:A356)+1,"")</f>
        <v/>
      </c>
      <c r="B357" s="87" t="str">
        <f t="shared" si="18"/>
        <v/>
      </c>
      <c r="C357" s="84"/>
      <c r="D357" s="83"/>
    </row>
    <row r="358" spans="1:4" ht="20.100000000000001" customHeight="1">
      <c r="A358" s="90" t="str">
        <f>IF(LEN(O45)&gt;0,MAX($A$60:A357)+1,"")</f>
        <v/>
      </c>
      <c r="B358" s="87" t="str">
        <f t="shared" si="18"/>
        <v/>
      </c>
      <c r="C358" s="84"/>
      <c r="D358" s="83"/>
    </row>
    <row r="359" spans="1:4" ht="20.100000000000001" customHeight="1">
      <c r="A359" s="90" t="str">
        <f>IF(LEN(O46)&gt;0,MAX($A$60:A358)+1,"")</f>
        <v/>
      </c>
      <c r="B359" s="87" t="str">
        <f t="shared" si="18"/>
        <v/>
      </c>
      <c r="C359" s="84"/>
      <c r="D359" s="83"/>
    </row>
  </sheetData>
  <sheetProtection algorithmName="SHA-512" hashValue="P3/kmaiKE4MonnFlJwyLNQ2v36BVM3u/CfEclaIWzdsvX32xIuSHaitHSFN7pc4nqmUrXKVUmoB9CbxYtrtFbw==" saltValue="jM20IITPKRJXdXN3k6aXAw==" spinCount="100000" sheet="1" objects="1" scenarios="1"/>
  <mergeCells count="3">
    <mergeCell ref="B2:L2"/>
    <mergeCell ref="E1:N1"/>
    <mergeCell ref="B25:O25"/>
  </mergeCells>
  <phoneticPr fontId="2" type="noConversion"/>
  <conditionalFormatting sqref="B25">
    <cfRule type="expression" dxfId="4" priority="5">
      <formula>LEN(B25)&gt;0</formula>
    </cfRule>
  </conditionalFormatting>
  <conditionalFormatting sqref="E1:N1">
    <cfRule type="expression" dxfId="3" priority="4">
      <formula>OR(LEN(부서명)=0,LEN(회계년도)=0)</formula>
    </cfRule>
  </conditionalFormatting>
  <conditionalFormatting sqref="A26:O26">
    <cfRule type="expression" dxfId="2" priority="3">
      <formula>A$48="관입력누락"</formula>
    </cfRule>
  </conditionalFormatting>
  <conditionalFormatting sqref="A27:O46">
    <cfRule type="duplicateValues" dxfId="1" priority="1"/>
    <cfRule type="duplicateValues" dxfId="0" priority="2"/>
  </conditionalFormatting>
  <dataValidations count="1">
    <dataValidation type="whole" allowBlank="1" showInputMessage="1" showErrorMessage="1" errorTitle="회계년도 입력 오류" error="회계년도는 숫자 4자리만 입력하세요. (예: 2021년은 2021)" sqref="D1" xr:uid="{5E8BC9AF-4BE5-4F93-ADF0-E82ACF7CCE79}">
      <formula1>1990</formula1>
      <formula2>2999</formula2>
    </dataValidation>
  </dataValidations>
  <pageMargins left="0.70866141732283472" right="0.70866141732283472" top="0.39370078740157483" bottom="0.74803149606299213" header="0.31496062992125984" footer="0.31496062992125984"/>
  <pageSetup paperSize="9" scale="9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1DD6-1FA3-4131-845E-67BB0CB01E27}">
  <dimension ref="A1:D8"/>
  <sheetViews>
    <sheetView workbookViewId="0">
      <pane ySplit="1" topLeftCell="A2" activePane="bottomLeft" state="frozen"/>
      <selection pane="bottomLeft" activeCell="B12" sqref="B12"/>
    </sheetView>
  </sheetViews>
  <sheetFormatPr defaultRowHeight="20.100000000000001" customHeight="1"/>
  <cols>
    <col min="1" max="1" width="12.75" style="1" customWidth="1"/>
    <col min="2" max="2" width="75.125" customWidth="1"/>
    <col min="3" max="3" width="10.125" style="1" customWidth="1"/>
    <col min="4" max="4" width="42.125" customWidth="1"/>
  </cols>
  <sheetData>
    <row r="1" spans="1:4" s="1" customFormat="1" ht="20.100000000000001" customHeight="1">
      <c r="A1" s="186" t="s">
        <v>115</v>
      </c>
      <c r="B1" s="186" t="s">
        <v>116</v>
      </c>
      <c r="C1" s="186" t="s">
        <v>124</v>
      </c>
      <c r="D1" s="186" t="s">
        <v>126</v>
      </c>
    </row>
    <row r="2" spans="1:4" ht="20.100000000000001" customHeight="1">
      <c r="A2" s="185">
        <v>44025</v>
      </c>
      <c r="B2" t="s">
        <v>117</v>
      </c>
      <c r="C2" s="1" t="s">
        <v>125</v>
      </c>
    </row>
    <row r="3" spans="1:4" ht="20.100000000000001" customHeight="1">
      <c r="A3" s="185">
        <v>44025</v>
      </c>
      <c r="B3" t="s">
        <v>118</v>
      </c>
      <c r="C3" s="1" t="s">
        <v>125</v>
      </c>
    </row>
    <row r="4" spans="1:4" ht="20.100000000000001" customHeight="1">
      <c r="A4" s="185">
        <v>44025</v>
      </c>
      <c r="B4" t="s">
        <v>119</v>
      </c>
      <c r="C4" s="1" t="s">
        <v>125</v>
      </c>
    </row>
    <row r="5" spans="1:4" ht="20.100000000000001" customHeight="1">
      <c r="A5" s="185">
        <v>44025</v>
      </c>
      <c r="B5" t="s">
        <v>120</v>
      </c>
      <c r="C5" s="1" t="s">
        <v>125</v>
      </c>
    </row>
    <row r="6" spans="1:4" ht="20.100000000000001" customHeight="1">
      <c r="A6" s="185">
        <v>44025</v>
      </c>
      <c r="B6" t="s">
        <v>121</v>
      </c>
      <c r="C6" s="1" t="s">
        <v>125</v>
      </c>
    </row>
    <row r="7" spans="1:4" ht="20.100000000000001" customHeight="1">
      <c r="A7" s="185">
        <v>44025</v>
      </c>
      <c r="B7" t="s">
        <v>122</v>
      </c>
      <c r="C7" s="1" t="s">
        <v>125</v>
      </c>
    </row>
    <row r="8" spans="1:4" ht="20.100000000000001" customHeight="1">
      <c r="A8" s="185">
        <v>44025</v>
      </c>
      <c r="B8" t="s">
        <v>123</v>
      </c>
      <c r="C8" s="1" t="s">
        <v>125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19</vt:i4>
      </vt:variant>
    </vt:vector>
  </HeadingPairs>
  <TitlesOfParts>
    <vt:vector size="28" baseType="lpstr">
      <vt:lpstr>회계장부</vt:lpstr>
      <vt:lpstr>결의서(기본)</vt:lpstr>
      <vt:lpstr>결의서(추가)</vt:lpstr>
      <vt:lpstr>월별누계</vt:lpstr>
      <vt:lpstr>회계보고서</vt:lpstr>
      <vt:lpstr>검산서(상반기)</vt:lpstr>
      <vt:lpstr>검산서(하반기)</vt:lpstr>
      <vt:lpstr>회계코드</vt:lpstr>
      <vt:lpstr>개선사항</vt:lpstr>
      <vt:lpstr>'검산서(상반기)'!Print_Area</vt:lpstr>
      <vt:lpstr>'검산서(하반기)'!Print_Area</vt:lpstr>
      <vt:lpstr>'결의서(기본)'!Print_Area</vt:lpstr>
      <vt:lpstr>'결의서(추가)'!Print_Area</vt:lpstr>
      <vt:lpstr>회계보고서!Print_Area</vt:lpstr>
      <vt:lpstr>관</vt:lpstr>
      <vt:lpstr>기준일자</vt:lpstr>
      <vt:lpstr>기준일자_시작일</vt:lpstr>
      <vt:lpstr>기준일자_종료일</vt:lpstr>
      <vt:lpstr>부서명</vt:lpstr>
      <vt:lpstr>수입</vt:lpstr>
      <vt:lpstr>전년도이월금</vt:lpstr>
      <vt:lpstr>지출</vt:lpstr>
      <vt:lpstr>지출관정렬</vt:lpstr>
      <vt:lpstr>지출항목정렬</vt:lpstr>
      <vt:lpstr>항목</vt:lpstr>
      <vt:lpstr>헌금_회비</vt:lpstr>
      <vt:lpstr>회계년도</vt:lpstr>
      <vt:lpstr>회계월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남혜정</dc:creator>
  <cp:lastModifiedBy>user</cp:lastModifiedBy>
  <cp:lastPrinted>2020-12-03T16:18:05Z</cp:lastPrinted>
  <dcterms:created xsi:type="dcterms:W3CDTF">2014-01-05T13:45:46Z</dcterms:created>
  <dcterms:modified xsi:type="dcterms:W3CDTF">2021-07-01T02:21:21Z</dcterms:modified>
</cp:coreProperties>
</file>