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backupFile="1"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성현생각\Documents\아빠\검산위원회\"/>
    </mc:Choice>
  </mc:AlternateContent>
  <xr:revisionPtr revIDLastSave="0" documentId="8_{3726C7FC-6EF7-485C-83AB-581C2A3FB6EC}" xr6:coauthVersionLast="45" xr6:coauthVersionMax="45" xr10:uidLastSave="{00000000-0000-0000-0000-000000000000}"/>
  <bookViews>
    <workbookView xWindow="-120" yWindow="-120" windowWidth="29040" windowHeight="15840" tabRatio="1000" xr2:uid="{00000000-000D-0000-FFFF-FFFF00000000}"/>
  </bookViews>
  <sheets>
    <sheet name="회계장부" sheetId="2" r:id="rId1"/>
    <sheet name="결의서" sheetId="1" r:id="rId2"/>
    <sheet name="월별누계" sheetId="29" r:id="rId3"/>
    <sheet name="검산서(상반기)" sheetId="34" r:id="rId4"/>
    <sheet name="검산서(하반기)" sheetId="33" r:id="rId5"/>
    <sheet name="회계보고서" sheetId="15" r:id="rId6"/>
    <sheet name="회계코드" sheetId="7" r:id="rId7"/>
  </sheets>
  <definedNames>
    <definedName name="_xlnm._FilterDatabase" localSheetId="0" hidden="1">회계장부!$I$1:$I$4</definedName>
    <definedName name="_xlnm._FilterDatabase" localSheetId="6" hidden="1">회계코드!#REF!</definedName>
    <definedName name="_xlnm.Print_Area" localSheetId="3">'검산서(상반기)'!$A$1:$M$29</definedName>
    <definedName name="간식_다과비">회계코드!$A$11:$A$13</definedName>
    <definedName name="경조사비">회계코드!$D$11</definedName>
    <definedName name="관">회계장부!$H:$H</definedName>
    <definedName name="교회보조금">회계코드!$C$4:$C$5</definedName>
    <definedName name="기준일자">결의서!$B$2</definedName>
    <definedName name="기준일자_시작일">회계보고서!$K$3</definedName>
    <definedName name="기준일자_종료일">회계보고서!$K$4</definedName>
    <definedName name="기타수입">회계코드!$D$4:$D$6</definedName>
    <definedName name="기타지출">회계코드!$H$11:$H$13</definedName>
    <definedName name="부서운영비">회계코드!$C$11:$C$16</definedName>
    <definedName name="수입">회계장부!$C:$C</definedName>
    <definedName name="수입항목">회계코드!$A$3:$D$3</definedName>
    <definedName name="시상_선물">회계코드!$G$11:$G$14</definedName>
    <definedName name="전년도이월금">회계코드!$A$4</definedName>
    <definedName name="지출">회계장부!$D:$D</definedName>
    <definedName name="지출항목">회계코드!$A$10:$H$10</definedName>
    <definedName name="총회_월례회_친교">회계코드!$E$11:$E$13</definedName>
    <definedName name="코드">회계장부!$J:$J</definedName>
    <definedName name="특별예배">회계코드!$F$11:$F$13</definedName>
    <definedName name="행사비">회계코드!$B$11:$B$15</definedName>
    <definedName name="헌금">회계코드!$B$4:$B$6</definedName>
    <definedName name="회계월">회계장부!$L:$L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" i="2" l="1"/>
  <c r="N3" i="2"/>
  <c r="E4" i="2"/>
  <c r="G4" i="2"/>
  <c r="J4" i="2"/>
  <c r="K4" i="2"/>
  <c r="L4" i="2"/>
  <c r="M4" i="2"/>
  <c r="N4" i="2"/>
  <c r="G12" i="15" l="1"/>
  <c r="C13" i="15"/>
  <c r="C12" i="15"/>
  <c r="D37" i="15" l="1"/>
  <c r="G7" i="15"/>
  <c r="G8" i="15"/>
  <c r="G9" i="15"/>
  <c r="G10" i="15"/>
  <c r="G11" i="15"/>
  <c r="G13" i="15"/>
  <c r="G14" i="15"/>
  <c r="G15" i="15"/>
  <c r="G16" i="15"/>
  <c r="G17" i="15"/>
  <c r="G18" i="15"/>
  <c r="G19" i="15"/>
  <c r="G20" i="15"/>
  <c r="H20" i="15" s="1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6" i="15"/>
  <c r="C6" i="15"/>
  <c r="C7" i="15"/>
  <c r="C8" i="15"/>
  <c r="C9" i="15"/>
  <c r="C10" i="15"/>
  <c r="C11" i="15"/>
  <c r="H31" i="15" l="1"/>
  <c r="H6" i="15"/>
  <c r="H27" i="15"/>
  <c r="H14" i="15"/>
  <c r="H9" i="15"/>
  <c r="H21" i="15"/>
  <c r="H24" i="15"/>
  <c r="A2" i="15"/>
  <c r="D11" i="15"/>
  <c r="D6" i="15"/>
  <c r="D8" i="15"/>
  <c r="D35" i="15" l="1"/>
  <c r="H35" i="15"/>
  <c r="E2" i="2" l="1"/>
  <c r="E3" i="2" s="1"/>
  <c r="G2" i="2"/>
  <c r="G3" i="2"/>
  <c r="L9" i="33"/>
  <c r="L11" i="33"/>
  <c r="L11" i="34"/>
  <c r="L16" i="34"/>
  <c r="L17" i="34"/>
  <c r="L18" i="34"/>
  <c r="L19" i="34"/>
  <c r="B7" i="34"/>
  <c r="B20" i="34" s="1"/>
  <c r="B7" i="33" s="1"/>
  <c r="B21" i="33" s="1"/>
  <c r="K2" i="2"/>
  <c r="J3" i="2"/>
  <c r="J2" i="2"/>
  <c r="L12" i="34"/>
  <c r="L10" i="33"/>
  <c r="L3" i="2"/>
  <c r="L8" i="34" s="1"/>
  <c r="N2" i="2"/>
  <c r="M2" i="2"/>
  <c r="H23" i="1" s="1"/>
  <c r="L2" i="2"/>
  <c r="E16" i="34"/>
  <c r="G34" i="15"/>
  <c r="B23" i="1"/>
  <c r="D24" i="1"/>
  <c r="F23" i="1"/>
  <c r="H21" i="1"/>
  <c r="D23" i="1"/>
  <c r="F22" i="1"/>
  <c r="H20" i="1"/>
  <c r="F20" i="1"/>
  <c r="B24" i="1"/>
  <c r="E11" i="29"/>
  <c r="D3" i="29"/>
  <c r="C7" i="29"/>
  <c r="B7" i="29"/>
  <c r="E6" i="29"/>
  <c r="E10" i="29"/>
  <c r="D10" i="29"/>
  <c r="C14" i="29"/>
  <c r="B6" i="29"/>
  <c r="E9" i="29"/>
  <c r="D13" i="29"/>
  <c r="C5" i="29"/>
  <c r="B5" i="29"/>
  <c r="E8" i="29"/>
  <c r="E12" i="29"/>
  <c r="D12" i="29"/>
  <c r="B4" i="29"/>
  <c r="B8" i="29"/>
  <c r="B22" i="1"/>
  <c r="D22" i="1"/>
  <c r="B21" i="1"/>
  <c r="D19" i="1"/>
  <c r="D20" i="1"/>
  <c r="B20" i="1"/>
  <c r="B19" i="1"/>
  <c r="D21" i="1"/>
  <c r="C18" i="1"/>
  <c r="C17" i="1"/>
  <c r="K3" i="2" l="1"/>
  <c r="L8" i="33"/>
  <c r="E10" i="33"/>
  <c r="H36" i="15"/>
  <c r="D36" i="15"/>
  <c r="F10" i="29"/>
  <c r="D7" i="29"/>
  <c r="C4" i="29"/>
  <c r="B9" i="29"/>
  <c r="E13" i="29"/>
  <c r="F13" i="29" s="1"/>
  <c r="D14" i="29"/>
  <c r="B11" i="29"/>
  <c r="E3" i="29"/>
  <c r="F3" i="29" s="1"/>
  <c r="F19" i="1"/>
  <c r="C12" i="29"/>
  <c r="D8" i="29"/>
  <c r="F8" i="29" s="1"/>
  <c r="E4" i="29"/>
  <c r="C13" i="29"/>
  <c r="D9" i="29"/>
  <c r="E5" i="29"/>
  <c r="C10" i="29"/>
  <c r="D6" i="29"/>
  <c r="F6" i="29" s="1"/>
  <c r="B10" i="29"/>
  <c r="C3" i="29"/>
  <c r="D11" i="29"/>
  <c r="F11" i="29" s="1"/>
  <c r="E7" i="29"/>
  <c r="F7" i="29" s="1"/>
  <c r="B12" i="29"/>
  <c r="C8" i="29"/>
  <c r="D4" i="29"/>
  <c r="B13" i="29"/>
  <c r="C9" i="29"/>
  <c r="D5" i="29"/>
  <c r="F5" i="29" s="1"/>
  <c r="B14" i="29"/>
  <c r="C6" i="29"/>
  <c r="E14" i="29"/>
  <c r="B3" i="29"/>
  <c r="C11" i="29"/>
  <c r="H19" i="1"/>
  <c r="F21" i="1"/>
  <c r="H22" i="1"/>
  <c r="E18" i="33"/>
  <c r="E14" i="34"/>
  <c r="E12" i="33"/>
  <c r="L15" i="34"/>
  <c r="E8" i="33"/>
  <c r="D10" i="34"/>
  <c r="L9" i="34"/>
  <c r="F12" i="29"/>
  <c r="F9" i="29"/>
  <c r="E12" i="34"/>
  <c r="E18" i="34"/>
  <c r="E16" i="33"/>
  <c r="E14" i="33"/>
  <c r="L10" i="34"/>
  <c r="L15" i="33"/>
  <c r="C10" i="34"/>
  <c r="L13" i="33"/>
  <c r="C12" i="33"/>
  <c r="E8" i="34"/>
  <c r="E10" i="34"/>
  <c r="L13" i="34"/>
  <c r="L12" i="33"/>
  <c r="D8" i="33"/>
  <c r="D18" i="33"/>
  <c r="D14" i="34"/>
  <c r="D18" i="34"/>
  <c r="C10" i="33"/>
  <c r="C16" i="34"/>
  <c r="C12" i="34"/>
  <c r="D16" i="34"/>
  <c r="L14" i="33"/>
  <c r="L14" i="34"/>
  <c r="C8" i="33"/>
  <c r="D10" i="33"/>
  <c r="C18" i="34"/>
  <c r="C16" i="33"/>
  <c r="C14" i="33"/>
  <c r="D12" i="34"/>
  <c r="D16" i="33"/>
  <c r="D12" i="33"/>
  <c r="H7" i="34"/>
  <c r="C8" i="34"/>
  <c r="C18" i="33"/>
  <c r="C14" i="34"/>
  <c r="D8" i="34"/>
  <c r="D14" i="33"/>
  <c r="F14" i="29" l="1"/>
  <c r="H37" i="15"/>
  <c r="F4" i="29"/>
  <c r="H24" i="1"/>
  <c r="F12" i="33"/>
  <c r="G12" i="33" s="1"/>
  <c r="H12" i="33" s="1"/>
  <c r="E20" i="33"/>
  <c r="F18" i="33"/>
  <c r="G18" i="33" s="1"/>
  <c r="H18" i="33" s="1"/>
  <c r="L20" i="34"/>
  <c r="L7" i="33" s="1"/>
  <c r="D20" i="34"/>
  <c r="D7" i="33" s="1"/>
  <c r="F12" i="34"/>
  <c r="G12" i="34" s="1"/>
  <c r="H12" i="34" s="1"/>
  <c r="F10" i="34"/>
  <c r="G10" i="34" s="1"/>
  <c r="H10" i="34" s="1"/>
  <c r="L20" i="33"/>
  <c r="E20" i="34"/>
  <c r="E7" i="33" s="1"/>
  <c r="H12" i="1"/>
  <c r="H11" i="1"/>
  <c r="H9" i="1"/>
  <c r="D8" i="1"/>
  <c r="D6" i="1"/>
  <c r="H8" i="1"/>
  <c r="H7" i="1"/>
  <c r="D11" i="1"/>
  <c r="H5" i="1"/>
  <c r="D5" i="1"/>
  <c r="F5" i="1"/>
  <c r="B13" i="1"/>
  <c r="B12" i="1"/>
  <c r="B11" i="1"/>
  <c r="F9" i="1"/>
  <c r="F8" i="1"/>
  <c r="F7" i="1"/>
  <c r="F6" i="1"/>
  <c r="D13" i="1"/>
  <c r="D9" i="1"/>
  <c r="D10" i="1"/>
  <c r="H6" i="1"/>
  <c r="B6" i="1"/>
  <c r="B5" i="1"/>
  <c r="F12" i="1"/>
  <c r="F11" i="1"/>
  <c r="F10" i="1"/>
  <c r="B10" i="1"/>
  <c r="B9" i="1"/>
  <c r="B8" i="1"/>
  <c r="B7" i="1"/>
  <c r="H10" i="1"/>
  <c r="D12" i="1"/>
  <c r="D7" i="1"/>
  <c r="D20" i="33"/>
  <c r="C20" i="34"/>
  <c r="C7" i="33" s="1"/>
  <c r="F8" i="34"/>
  <c r="G8" i="34" s="1"/>
  <c r="C20" i="33"/>
  <c r="F14" i="34"/>
  <c r="G14" i="34" s="1"/>
  <c r="H14" i="34" s="1"/>
  <c r="F14" i="33"/>
  <c r="G14" i="33" s="1"/>
  <c r="H14" i="33" s="1"/>
  <c r="F10" i="33"/>
  <c r="G10" i="33" s="1"/>
  <c r="H10" i="33" s="1"/>
  <c r="F8" i="33"/>
  <c r="H15" i="1"/>
  <c r="H16" i="1"/>
  <c r="E15" i="1"/>
  <c r="E16" i="1"/>
  <c r="C15" i="1"/>
  <c r="C16" i="1"/>
  <c r="F18" i="34"/>
  <c r="G18" i="34" s="1"/>
  <c r="H18" i="34" s="1"/>
  <c r="F16" i="33"/>
  <c r="G16" i="33" s="1"/>
  <c r="H16" i="33" s="1"/>
  <c r="F16" i="34"/>
  <c r="G16" i="34" s="1"/>
  <c r="H16" i="34" s="1"/>
  <c r="D21" i="33" l="1"/>
  <c r="E21" i="33"/>
  <c r="L21" i="33"/>
  <c r="F20" i="33"/>
  <c r="E18" i="1"/>
  <c r="E17" i="1"/>
  <c r="C21" i="33"/>
  <c r="H13" i="1"/>
  <c r="G20" i="34"/>
  <c r="G7" i="33" s="1"/>
  <c r="H8" i="34"/>
  <c r="H20" i="34" s="1"/>
  <c r="G8" i="33"/>
  <c r="F20" i="34"/>
  <c r="F7" i="33" s="1"/>
  <c r="F21" i="33" l="1"/>
  <c r="G4" i="1"/>
  <c r="C4" i="1"/>
  <c r="G20" i="33"/>
  <c r="G21" i="33" s="1"/>
  <c r="H8" i="33"/>
  <c r="H20" i="33" s="1"/>
  <c r="M21" i="34"/>
  <c r="H7" i="33"/>
  <c r="H21" i="33" l="1"/>
  <c r="M21" i="33" s="1"/>
</calcChain>
</file>

<file path=xl/sharedStrings.xml><?xml version="1.0" encoding="utf-8"?>
<sst xmlns="http://schemas.openxmlformats.org/spreadsheetml/2006/main" count="316" uniqueCount="252">
  <si>
    <t>수입 및 지출 결의서</t>
    <phoneticPr fontId="2" type="noConversion"/>
  </si>
  <si>
    <t>일  자</t>
    <phoneticPr fontId="2" type="noConversion"/>
  </si>
  <si>
    <t>적   요</t>
    <phoneticPr fontId="2" type="noConversion"/>
  </si>
  <si>
    <t>수입금액</t>
    <phoneticPr fontId="2" type="noConversion"/>
  </si>
  <si>
    <t>지출금액</t>
    <phoneticPr fontId="2" type="noConversion"/>
  </si>
  <si>
    <t>수입 No</t>
    <phoneticPr fontId="2" type="noConversion"/>
  </si>
  <si>
    <t>지출 No</t>
    <phoneticPr fontId="2" type="noConversion"/>
  </si>
  <si>
    <t>비   고</t>
    <phoneticPr fontId="2" type="noConversion"/>
  </si>
  <si>
    <t>교회보조금</t>
    <phoneticPr fontId="2" type="noConversion"/>
  </si>
  <si>
    <t>항목</t>
    <phoneticPr fontId="2" type="noConversion"/>
  </si>
  <si>
    <t>관</t>
    <phoneticPr fontId="2" type="noConversion"/>
  </si>
  <si>
    <t>전년도이월금</t>
  </si>
  <si>
    <t>전년도이월금</t>
    <phoneticPr fontId="2" type="noConversion"/>
  </si>
  <si>
    <t>회계코드</t>
    <phoneticPr fontId="2" type="noConversion"/>
  </si>
  <si>
    <t>수입/지출</t>
    <phoneticPr fontId="2" type="noConversion"/>
  </si>
  <si>
    <t>수입누적구분</t>
    <phoneticPr fontId="2" type="noConversion"/>
  </si>
  <si>
    <t>월</t>
    <phoneticPr fontId="2" type="noConversion"/>
  </si>
  <si>
    <t>헌금</t>
    <phoneticPr fontId="2" type="noConversion"/>
  </si>
  <si>
    <t>특별예배</t>
    <phoneticPr fontId="2" type="noConversion"/>
  </si>
  <si>
    <t>전년도 이월금</t>
  </si>
  <si>
    <t>수입</t>
    <phoneticPr fontId="2" type="noConversion"/>
  </si>
  <si>
    <t>지출</t>
    <phoneticPr fontId="2" type="noConversion"/>
  </si>
  <si>
    <t>금액(원)</t>
  </si>
  <si>
    <t>금액(원)</t>
    <phoneticPr fontId="2" type="noConversion"/>
  </si>
  <si>
    <t>일 자</t>
    <phoneticPr fontId="2" type="noConversion"/>
  </si>
  <si>
    <t>증빙유무</t>
    <phoneticPr fontId="2" type="noConversion"/>
  </si>
  <si>
    <t>과 목</t>
    <phoneticPr fontId="2" type="noConversion"/>
  </si>
  <si>
    <t>항</t>
    <phoneticPr fontId="2" type="noConversion"/>
  </si>
  <si>
    <t>목</t>
    <phoneticPr fontId="2" type="noConversion"/>
  </si>
  <si>
    <t>금 액</t>
    <phoneticPr fontId="2" type="noConversion"/>
  </si>
  <si>
    <t>金</t>
    <phoneticPr fontId="2" type="noConversion"/>
  </si>
  <si>
    <r>
      <t xml:space="preserve">적 요
</t>
    </r>
    <r>
      <rPr>
        <sz val="8"/>
        <color theme="1"/>
        <rFont val="굴림"/>
        <family val="3"/>
        <charset val="129"/>
      </rPr>
      <t>(지출내역)</t>
    </r>
    <phoneticPr fontId="2" type="noConversion"/>
  </si>
  <si>
    <t>계</t>
    <phoneticPr fontId="2" type="noConversion"/>
  </si>
  <si>
    <t>수 입</t>
    <phoneticPr fontId="2" type="noConversion"/>
  </si>
  <si>
    <t>자 체 헌 금</t>
    <phoneticPr fontId="2" type="noConversion"/>
  </si>
  <si>
    <t>기  타</t>
    <phoneticPr fontId="2" type="noConversion"/>
  </si>
  <si>
    <t>금일</t>
    <phoneticPr fontId="2" type="noConversion"/>
  </si>
  <si>
    <t>누계</t>
    <phoneticPr fontId="2" type="noConversion"/>
  </si>
  <si>
    <t>지 출</t>
    <phoneticPr fontId="2" type="noConversion"/>
  </si>
  <si>
    <t>수입누계</t>
    <phoneticPr fontId="2" type="noConversion"/>
  </si>
  <si>
    <t>청구 및 영수자</t>
    <phoneticPr fontId="2" type="noConversion"/>
  </si>
  <si>
    <t>잔고</t>
    <phoneticPr fontId="2" type="noConversion"/>
  </si>
  <si>
    <t xml:space="preserve">(인)  </t>
    <phoneticPr fontId="2" type="noConversion"/>
  </si>
  <si>
    <r>
      <t xml:space="preserve">비 고
</t>
    </r>
    <r>
      <rPr>
        <sz val="8"/>
        <color theme="1"/>
        <rFont val="굴림"/>
        <family val="3"/>
        <charset val="129"/>
      </rPr>
      <t>(수입내역)</t>
    </r>
    <phoneticPr fontId="2" type="noConversion"/>
  </si>
  <si>
    <t>결 재</t>
    <phoneticPr fontId="2" type="noConversion"/>
  </si>
  <si>
    <t>회    계</t>
    <phoneticPr fontId="2" type="noConversion"/>
  </si>
  <si>
    <t>총    무</t>
    <phoneticPr fontId="2" type="noConversion"/>
  </si>
  <si>
    <t xml:space="preserve">  ※ 증빙없는 지출은 영수자 서명 및 내용을 상세히 기록할 것</t>
    <phoneticPr fontId="2" type="noConversion"/>
  </si>
  <si>
    <t>잔  액</t>
    <phoneticPr fontId="2" type="noConversion"/>
  </si>
  <si>
    <t>월계</t>
    <phoneticPr fontId="2" type="noConversion"/>
  </si>
  <si>
    <t>잔액</t>
    <phoneticPr fontId="2" type="noConversion"/>
  </si>
  <si>
    <t>수입(Income)</t>
    <phoneticPr fontId="2" type="noConversion"/>
  </si>
  <si>
    <t>지출(Expenses)</t>
    <phoneticPr fontId="2" type="noConversion"/>
  </si>
  <si>
    <t>전년도이월금(IA1)</t>
    <phoneticPr fontId="2" type="noConversion"/>
  </si>
  <si>
    <t>전년도이월금(IA1)</t>
  </si>
  <si>
    <t>비      고</t>
    <phoneticPr fontId="2" type="noConversion"/>
  </si>
  <si>
    <t>교회보조금 (교회지원금,재배정금)</t>
    <phoneticPr fontId="2" type="noConversion"/>
  </si>
  <si>
    <t>교회지원금(IC1)</t>
    <phoneticPr fontId="2" type="noConversion"/>
  </si>
  <si>
    <t>교회지원금(IC1)</t>
    <phoneticPr fontId="2" type="noConversion"/>
  </si>
  <si>
    <t>재배정금(IC2)</t>
    <phoneticPr fontId="2" type="noConversion"/>
  </si>
  <si>
    <t>재배정금(IC2)</t>
    <phoneticPr fontId="2" type="noConversion"/>
  </si>
  <si>
    <t>예금이자(ID1)</t>
    <phoneticPr fontId="2" type="noConversion"/>
  </si>
  <si>
    <t>구분</t>
    <phoneticPr fontId="2" type="noConversion"/>
  </si>
  <si>
    <t>세      입</t>
    <phoneticPr fontId="20" type="noConversion"/>
  </si>
  <si>
    <t>세      출</t>
    <phoneticPr fontId="20" type="noConversion"/>
  </si>
  <si>
    <t>비  고</t>
    <phoneticPr fontId="20" type="noConversion"/>
  </si>
  <si>
    <t>전년도이월금</t>
    <phoneticPr fontId="20" type="noConversion"/>
  </si>
  <si>
    <t>회기총수입</t>
    <phoneticPr fontId="2" type="noConversion"/>
  </si>
  <si>
    <t>합 계</t>
    <phoneticPr fontId="20" type="noConversion"/>
  </si>
  <si>
    <t>지출항목</t>
    <phoneticPr fontId="2" type="noConversion"/>
  </si>
  <si>
    <t>지 출 계</t>
    <phoneticPr fontId="2" type="noConversion"/>
  </si>
  <si>
    <t>교회지원금</t>
    <phoneticPr fontId="20" type="noConversion"/>
  </si>
  <si>
    <t>재배정금</t>
    <phoneticPr fontId="2" type="noConversion"/>
  </si>
  <si>
    <t>자체헌금/회비</t>
    <phoneticPr fontId="2" type="noConversion"/>
  </si>
  <si>
    <t>찬조/이자/기타</t>
    <phoneticPr fontId="20" type="noConversion"/>
  </si>
  <si>
    <t>이월금</t>
    <phoneticPr fontId="2" type="noConversion"/>
  </si>
  <si>
    <t>1월</t>
    <phoneticPr fontId="2" type="noConversion"/>
  </si>
  <si>
    <t xml:space="preserve"> 1.</t>
    <phoneticPr fontId="2" type="noConversion"/>
  </si>
  <si>
    <t xml:space="preserve"> 2.</t>
  </si>
  <si>
    <t>2월</t>
  </si>
  <si>
    <t xml:space="preserve"> 3.</t>
  </si>
  <si>
    <t xml:space="preserve"> 4.</t>
  </si>
  <si>
    <t>3월</t>
  </si>
  <si>
    <t xml:space="preserve"> 5.</t>
  </si>
  <si>
    <t xml:space="preserve"> 6.</t>
  </si>
  <si>
    <t>4월</t>
  </si>
  <si>
    <t xml:space="preserve"> 7.</t>
  </si>
  <si>
    <t xml:space="preserve"> 8.</t>
  </si>
  <si>
    <t>5월</t>
  </si>
  <si>
    <t xml:space="preserve"> 9.</t>
  </si>
  <si>
    <t xml:space="preserve"> 10.</t>
  </si>
  <si>
    <t>6월</t>
  </si>
  <si>
    <t xml:space="preserve"> 11.</t>
  </si>
  <si>
    <t xml:space="preserve"> 12.</t>
  </si>
  <si>
    <t>상반기 계</t>
    <phoneticPr fontId="20" type="noConversion"/>
  </si>
  <si>
    <t>계</t>
    <phoneticPr fontId="2" type="noConversion"/>
  </si>
  <si>
    <t>잔액(이월금)</t>
    <phoneticPr fontId="2" type="noConversion"/>
  </si>
  <si>
    <t>제출서류 :</t>
    <phoneticPr fontId="2" type="noConversion"/>
  </si>
  <si>
    <t xml:space="preserve">  1. 검산자료내역서 2부.          2. 장부(수입, 지출 기록)          3. 증빙서류          4. 예금통장 원본(사본 제출용 1부)</t>
    <phoneticPr fontId="2" type="noConversion"/>
  </si>
  <si>
    <t>*작성요령 :</t>
    <phoneticPr fontId="2" type="noConversion"/>
  </si>
  <si>
    <t>1. 위원회는 재배정금 지급시 재배정금 "-" 기재, 각 기관은 재배정금 수령시 재배정금 "+" 기재</t>
    <phoneticPr fontId="2" type="noConversion"/>
  </si>
  <si>
    <t>2. 세출의 지출항목 구분은 세항목별 고액순으로 구분하여 기록하며, 필요시 기관별로 더 세분하여 기입 가능.</t>
    <phoneticPr fontId="2" type="noConversion"/>
  </si>
  <si>
    <t>3. 장부와 증빙서류는 매월 기관장의 결재를 받을 것</t>
    <phoneticPr fontId="2" type="noConversion"/>
  </si>
  <si>
    <t>구분</t>
    <phoneticPr fontId="2" type="noConversion"/>
  </si>
  <si>
    <t>세      입</t>
    <phoneticPr fontId="20" type="noConversion"/>
  </si>
  <si>
    <t>세      출</t>
    <phoneticPr fontId="20" type="noConversion"/>
  </si>
  <si>
    <t>비  고</t>
    <phoneticPr fontId="20" type="noConversion"/>
  </si>
  <si>
    <t>전년도이월금</t>
    <phoneticPr fontId="20" type="noConversion"/>
  </si>
  <si>
    <t>회기총수입</t>
    <phoneticPr fontId="2" type="noConversion"/>
  </si>
  <si>
    <t>합 계</t>
    <phoneticPr fontId="20" type="noConversion"/>
  </si>
  <si>
    <t>지출항목</t>
    <phoneticPr fontId="2" type="noConversion"/>
  </si>
  <si>
    <t>지 출 계</t>
    <phoneticPr fontId="2" type="noConversion"/>
  </si>
  <si>
    <t>교회지원금</t>
    <phoneticPr fontId="20" type="noConversion"/>
  </si>
  <si>
    <t>재배정금</t>
    <phoneticPr fontId="2" type="noConversion"/>
  </si>
  <si>
    <t>자체헌금/회비</t>
    <phoneticPr fontId="2" type="noConversion"/>
  </si>
  <si>
    <t>찬조/이자/기타</t>
    <phoneticPr fontId="20" type="noConversion"/>
  </si>
  <si>
    <t>상반기
검산총액</t>
    <phoneticPr fontId="2" type="noConversion"/>
  </si>
  <si>
    <t>상반기 검산총액</t>
    <phoneticPr fontId="2" type="noConversion"/>
  </si>
  <si>
    <t xml:space="preserve"> 1.</t>
    <phoneticPr fontId="2" type="noConversion"/>
  </si>
  <si>
    <t>하반기 계</t>
    <phoneticPr fontId="20" type="noConversion"/>
  </si>
  <si>
    <t>하반기 계</t>
    <phoneticPr fontId="2" type="noConversion"/>
  </si>
  <si>
    <t>잔액(이월금)</t>
    <phoneticPr fontId="2" type="noConversion"/>
  </si>
  <si>
    <t>합    계</t>
    <phoneticPr fontId="2" type="noConversion"/>
  </si>
  <si>
    <t>제출서류 :</t>
    <phoneticPr fontId="2" type="noConversion"/>
  </si>
  <si>
    <t xml:space="preserve">  1. 검산자료내역서 2부.          2. 장부(수입, 지출 기록)          3. 증빙서류          4. 예금통장 원본(사본 제출용 1부)</t>
    <phoneticPr fontId="2" type="noConversion"/>
  </si>
  <si>
    <t>*작성요령 :</t>
    <phoneticPr fontId="2" type="noConversion"/>
  </si>
  <si>
    <t>1. 위원회는 재배정금 지급시 재배정금 "-" 기재, 각 기관은 재배정금 수령시 재배정금 "+" 기재</t>
    <phoneticPr fontId="2" type="noConversion"/>
  </si>
  <si>
    <t>2. 세출의 지출항목 구분은 세항목별 고액순으로 구분하여 기록하며, 필요시 기관별로 더 세분하여 기입 가능.</t>
    <phoneticPr fontId="2" type="noConversion"/>
  </si>
  <si>
    <t>3. 장부와 증빙서류는 매월 기관장의 결재를 받을 것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</si>
  <si>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</si>
  <si>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</si>
  <si>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</si>
  <si>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</si>
  <si>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11월</t>
    <phoneticPr fontId="2" type="noConversion"/>
  </si>
  <si>
    <t>12월</t>
    <phoneticPr fontId="2" type="noConversion"/>
  </si>
  <si>
    <t>기관명 :</t>
    <phoneticPr fontId="20" type="noConversion"/>
  </si>
  <si>
    <t>(단위 : 원)</t>
    <phoneticPr fontId="2" type="noConversion"/>
  </si>
  <si>
    <t>위와 같이 검산자료를 제출합니다.</t>
    <phoneticPr fontId="2" type="noConversion"/>
  </si>
  <si>
    <t>부 장 :</t>
    <phoneticPr fontId="2" type="noConversion"/>
  </si>
  <si>
    <t>이 성 호</t>
    <phoneticPr fontId="2" type="noConversion"/>
  </si>
  <si>
    <t xml:space="preserve">   (인)</t>
    <phoneticPr fontId="2" type="noConversion"/>
  </si>
  <si>
    <t>검산부장</t>
    <phoneticPr fontId="2" type="noConversion"/>
  </si>
  <si>
    <t>(인)</t>
    <phoneticPr fontId="2" type="noConversion"/>
  </si>
  <si>
    <t>회계담당자  :</t>
    <phoneticPr fontId="2" type="noConversion"/>
  </si>
  <si>
    <t>한 경 욱</t>
    <phoneticPr fontId="2" type="noConversion"/>
  </si>
  <si>
    <t xml:space="preserve">   (인)   휴대폰 :</t>
    <phoneticPr fontId="2" type="noConversion"/>
  </si>
  <si>
    <t>위     원</t>
    <phoneticPr fontId="2" type="noConversion"/>
  </si>
  <si>
    <t>월정헌금(IB1)</t>
    <phoneticPr fontId="2" type="noConversion"/>
  </si>
  <si>
    <t>특별헌금(IB2)</t>
  </si>
  <si>
    <t>특별헌금(IB2)</t>
    <phoneticPr fontId="2" type="noConversion"/>
  </si>
  <si>
    <t>기타헌금(IB3)</t>
    <phoneticPr fontId="2" type="noConversion"/>
  </si>
  <si>
    <t>잡수입(ID3)</t>
    <phoneticPr fontId="2" type="noConversion"/>
  </si>
  <si>
    <t>찬조(ID2)</t>
    <phoneticPr fontId="2" type="noConversion"/>
  </si>
  <si>
    <t>기타수입</t>
    <phoneticPr fontId="2" type="noConversion"/>
  </si>
  <si>
    <t>행사비</t>
    <phoneticPr fontId="2" type="noConversion"/>
  </si>
  <si>
    <t>여름수련회(EB2)</t>
    <phoneticPr fontId="2" type="noConversion"/>
  </si>
  <si>
    <t>전체간식(EA1)</t>
    <phoneticPr fontId="2" type="noConversion"/>
  </si>
  <si>
    <t>다과류(EA2)</t>
    <phoneticPr fontId="2" type="noConversion"/>
  </si>
  <si>
    <t>부서운영비</t>
    <phoneticPr fontId="2" type="noConversion"/>
  </si>
  <si>
    <t>교육부(EC1)</t>
    <phoneticPr fontId="2" type="noConversion"/>
  </si>
  <si>
    <t>관리부(EC2)</t>
    <phoneticPr fontId="2" type="noConversion"/>
  </si>
  <si>
    <t>새가족부(EC3)</t>
    <phoneticPr fontId="2" type="noConversion"/>
  </si>
  <si>
    <t>선교부(EC4)</t>
    <phoneticPr fontId="2" type="noConversion"/>
  </si>
  <si>
    <t>주보홍보부(EC5)</t>
    <phoneticPr fontId="2" type="noConversion"/>
  </si>
  <si>
    <t>부활절(EF1)</t>
    <phoneticPr fontId="2" type="noConversion"/>
  </si>
  <si>
    <t>생일자선물(EG1)</t>
    <phoneticPr fontId="2" type="noConversion"/>
  </si>
  <si>
    <t>등반자선물(EG2)</t>
    <phoneticPr fontId="2" type="noConversion"/>
  </si>
  <si>
    <t>경조사비</t>
    <phoneticPr fontId="2" type="noConversion"/>
  </si>
  <si>
    <t>간식_다과비</t>
  </si>
  <si>
    <t>간식_다과비</t>
    <phoneticPr fontId="2" type="noConversion"/>
  </si>
  <si>
    <t>시상_선물</t>
  </si>
  <si>
    <t>시상_선물</t>
    <phoneticPr fontId="2" type="noConversion"/>
  </si>
  <si>
    <t>전체간식(EA1)</t>
  </si>
  <si>
    <t>누가청년회</t>
    <phoneticPr fontId="2" type="noConversion"/>
  </si>
  <si>
    <t>기타지출</t>
  </si>
  <si>
    <t>기타지출</t>
    <phoneticPr fontId="2" type="noConversion"/>
  </si>
  <si>
    <t>목사님간식(EA3)</t>
    <phoneticPr fontId="2" type="noConversion"/>
  </si>
  <si>
    <t>찬양부(EC6)</t>
    <phoneticPr fontId="2" type="noConversion"/>
  </si>
  <si>
    <t>경조사비(ED1)</t>
    <phoneticPr fontId="2" type="noConversion"/>
  </si>
  <si>
    <t>임원,임사월례회(EE1)</t>
    <phoneticPr fontId="2" type="noConversion"/>
  </si>
  <si>
    <t>추수감사절(EF2)</t>
    <phoneticPr fontId="2" type="noConversion"/>
  </si>
  <si>
    <t>성탄절(EF3)</t>
    <phoneticPr fontId="2" type="noConversion"/>
  </si>
  <si>
    <t>총회_월례회_친교</t>
  </si>
  <si>
    <t>총회_월례회_친교</t>
    <phoneticPr fontId="2" type="noConversion"/>
  </si>
  <si>
    <t>잡화(EH1)</t>
    <phoneticPr fontId="2" type="noConversion"/>
  </si>
  <si>
    <t>비품구입(EH2)</t>
    <phoneticPr fontId="2" type="noConversion"/>
  </si>
  <si>
    <t>기타(EH3)</t>
    <phoneticPr fontId="2" type="noConversion"/>
  </si>
  <si>
    <t>총회(EE2)</t>
    <phoneticPr fontId="2" type="noConversion"/>
  </si>
  <si>
    <t>친교(EE3)</t>
    <phoneticPr fontId="2" type="noConversion"/>
  </si>
  <si>
    <t>행사비</t>
  </si>
  <si>
    <t>부서운영비</t>
  </si>
  <si>
    <t>경조사비</t>
  </si>
  <si>
    <t>특별예배</t>
  </si>
  <si>
    <t>주보홍보부(EC5)</t>
  </si>
  <si>
    <t>연말시상(EG3)</t>
    <phoneticPr fontId="2" type="noConversion"/>
  </si>
  <si>
    <t>목사님선물(EG4)</t>
    <phoneticPr fontId="2" type="noConversion"/>
  </si>
  <si>
    <t>목사님선물(EG4)</t>
  </si>
  <si>
    <t>대구동부교회 누가청년회</t>
    <phoneticPr fontId="2" type="noConversion"/>
  </si>
  <si>
    <t>시작일자</t>
    <phoneticPr fontId="2" type="noConversion"/>
  </si>
  <si>
    <t>종료일자</t>
    <phoneticPr fontId="2" type="noConversion"/>
  </si>
  <si>
    <t>대상기간</t>
    <phoneticPr fontId="2" type="noConversion"/>
  </si>
  <si>
    <t>회계 보고서</t>
    <phoneticPr fontId="2" type="noConversion"/>
  </si>
  <si>
    <t>월정헌금(IB1)</t>
  </si>
  <si>
    <t>기타헌금(IB3)</t>
  </si>
  <si>
    <t>예금이자(ID1)</t>
  </si>
  <si>
    <t>찬조(ID2)</t>
  </si>
  <si>
    <t>잡수입(ID3)</t>
  </si>
  <si>
    <t>기타수입</t>
    <phoneticPr fontId="2" type="noConversion"/>
  </si>
  <si>
    <t>다과류(EA2)</t>
  </si>
  <si>
    <t>목사님간식(EA3)</t>
  </si>
  <si>
    <t>여름수련회(EB2)</t>
  </si>
  <si>
    <t>교육부(EC1)</t>
  </si>
  <si>
    <t>관리부(EC2)</t>
  </si>
  <si>
    <t>새가족부(EC3)</t>
  </si>
  <si>
    <t>선교부(EC4)</t>
  </si>
  <si>
    <t>찬양부(EC6)</t>
  </si>
  <si>
    <t>임원,임사월례회(EE1)</t>
  </si>
  <si>
    <t>총회(EE2)</t>
  </si>
  <si>
    <t>친교(EE3)</t>
  </si>
  <si>
    <t>경조사비(ED1)</t>
  </si>
  <si>
    <t>부활절(EF1)</t>
  </si>
  <si>
    <t>추수감사절(EF2)</t>
  </si>
  <si>
    <t>성탄절(EF3)</t>
  </si>
  <si>
    <t>생일자선물(EG1)</t>
  </si>
  <si>
    <t>등반자선물(EG2)</t>
  </si>
  <si>
    <t>연말시상(EG3)</t>
  </si>
  <si>
    <t>잡화(EH1)</t>
  </si>
  <si>
    <t>비품구입(EH2)</t>
  </si>
  <si>
    <t>기타(EH3)</t>
  </si>
  <si>
    <t>시상_선물</t>
    <phoneticPr fontId="2" type="noConversion"/>
  </si>
  <si>
    <t>기타지출</t>
    <phoneticPr fontId="2" type="noConversion"/>
  </si>
  <si>
    <t>대상기간 수입 합계</t>
    <phoneticPr fontId="2" type="noConversion"/>
  </si>
  <si>
    <t>대상기간 지출 합계</t>
    <phoneticPr fontId="2" type="noConversion"/>
  </si>
  <si>
    <t>대상기간 이전 지출 누적</t>
    <phoneticPr fontId="2" type="noConversion"/>
  </si>
  <si>
    <t>대상기간 이전 수입 누적</t>
    <phoneticPr fontId="2" type="noConversion"/>
  </si>
  <si>
    <t>입력하세요</t>
    <phoneticPr fontId="2" type="noConversion"/>
  </si>
  <si>
    <t>다과류-올푸드</t>
    <phoneticPr fontId="2" type="noConversion"/>
  </si>
  <si>
    <t>회    장</t>
    <phoneticPr fontId="2" type="noConversion"/>
  </si>
  <si>
    <t>신년기도회(EB1)</t>
    <phoneticPr fontId="2" type="noConversion"/>
  </si>
  <si>
    <t>신년기도회(EB1)</t>
    <phoneticPr fontId="2" type="noConversion"/>
  </si>
  <si>
    <t>한마음체육대회(EB5)</t>
    <phoneticPr fontId="2" type="noConversion"/>
  </si>
  <si>
    <t>가을나들이행사(EB4)</t>
    <phoneticPr fontId="2" type="noConversion"/>
  </si>
  <si>
    <t>한마음체육대회(EB5)</t>
    <phoneticPr fontId="2" type="noConversion"/>
  </si>
  <si>
    <t>봄나들이행사(EB3)</t>
    <phoneticPr fontId="2" type="noConversion"/>
  </si>
  <si>
    <t>봄나들이행사(EB3)</t>
    <phoneticPr fontId="2" type="noConversion"/>
  </si>
  <si>
    <t>가을나들이행사(EB4)</t>
    <phoneticPr fontId="2" type="noConversion"/>
  </si>
  <si>
    <t>교회 지원기관 검산서 (2020년 상반기)</t>
    <phoneticPr fontId="20" type="noConversion"/>
  </si>
  <si>
    <t>교회 지원기관 검산서 (2020년 하반기)</t>
    <phoneticPr fontId="20" type="noConversion"/>
  </si>
  <si>
    <t>2020년  6월  30일</t>
  </si>
  <si>
    <t>2020년  12월 31일</t>
  </si>
  <si>
    <t>예금이자</t>
    <phoneticPr fontId="2" type="noConversion"/>
  </si>
  <si>
    <t>기타수입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</si>
</sst>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yyyy&quot;년&quot;\ m&quot;월&quot;\ d&quot;일&quot;;@"/>
    <numFmt numFmtId="177" formatCode="&quot;₩&quot;#,##0_);[Red]\(&quot;₩&quot;#,##0\)"/>
    <numFmt numFmtId="178" formatCode="#,##0_ ;[Red]\-#,##0\ "/>
    <numFmt numFmtId="179" formatCode="&quot;₩&quot;#,##0"/>
    <numFmt numFmtId="180" formatCode="m&quot;/&quot;d;@"/>
  </numFmts>
  <fonts count="4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2"/>
      <color theme="1"/>
      <name val="HY헤드라인M"/>
      <family val="1"/>
      <charset val="129"/>
    </font>
    <font>
      <sz val="22"/>
      <color theme="1"/>
      <name val="HY헤드라인M"/>
      <family val="1"/>
      <charset val="129"/>
    </font>
    <font>
      <sz val="9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sz val="11"/>
      <color theme="0"/>
      <name val="굴림"/>
      <family val="3"/>
      <charset val="129"/>
    </font>
    <font>
      <b/>
      <sz val="11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1"/>
      <color theme="0" tint="-0.34998626667073579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name val="돋움"/>
      <family val="3"/>
      <charset val="129"/>
    </font>
    <font>
      <sz val="13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u/>
      <sz val="24"/>
      <color indexed="8"/>
      <name val="HY견고딕"/>
      <family val="1"/>
      <charset val="129"/>
    </font>
    <font>
      <sz val="11"/>
      <color indexed="8"/>
      <name val="굴림체"/>
      <family val="3"/>
      <charset val="129"/>
    </font>
    <font>
      <b/>
      <sz val="24"/>
      <color indexed="8"/>
      <name val="HY견명조"/>
      <family val="1"/>
      <charset val="129"/>
    </font>
    <font>
      <sz val="8"/>
      <name val="굴림체"/>
      <family val="3"/>
      <charset val="129"/>
    </font>
    <font>
      <sz val="11"/>
      <color indexed="8"/>
      <name val="HY견명조"/>
      <family val="1"/>
      <charset val="129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6"/>
      <color indexed="8"/>
      <name val="HY견명조"/>
      <family val="1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.5"/>
      <color indexed="8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b/>
      <sz val="14"/>
      <color theme="1" tint="0.14999847407452621"/>
      <name val="맑은 고딕"/>
      <family val="3"/>
      <charset val="129"/>
      <scheme val="minor"/>
    </font>
    <font>
      <b/>
      <sz val="11"/>
      <color theme="1" tint="0.14999847407452621"/>
      <name val="맑은 고딕"/>
      <family val="3"/>
      <charset val="129"/>
      <scheme val="minor"/>
    </font>
    <font>
      <b/>
      <sz val="10"/>
      <color theme="1" tint="0.14999847407452621"/>
      <name val="맑은 고딕"/>
      <family val="3"/>
      <charset val="129"/>
      <scheme val="minor"/>
    </font>
    <font>
      <sz val="11"/>
      <color theme="1" tint="0.1499984740745262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thin">
        <color indexed="8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/>
      <diagonal/>
    </border>
    <border>
      <left style="thin">
        <color indexed="64"/>
      </left>
      <right style="double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 style="double">
        <color rgb="FFFF0000"/>
      </left>
      <right style="double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double">
        <color rgb="FFFF0000"/>
      </left>
      <right style="thin">
        <color rgb="FFFF0000"/>
      </right>
      <top style="thin">
        <color indexed="64"/>
      </top>
      <bottom/>
      <diagonal/>
    </border>
    <border>
      <left style="double">
        <color rgb="FFFF0000"/>
      </left>
      <right style="thin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rgb="FFFF0000"/>
      </left>
      <right style="thin">
        <color auto="1"/>
      </right>
      <top/>
      <bottom style="thin">
        <color theme="3" tint="0.39994506668294322"/>
      </bottom>
      <diagonal/>
    </border>
    <border>
      <left style="thin">
        <color rgb="FFFF0000"/>
      </left>
      <right style="thin">
        <color auto="1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/>
      <right style="double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 style="double">
        <color rgb="FFFF0000"/>
      </right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 style="double">
        <color rgb="FFFF0000"/>
      </left>
      <right style="double">
        <color rgb="FFFF0000"/>
      </right>
      <top style="thin">
        <color theme="3" tint="0.39994506668294322"/>
      </top>
      <bottom/>
      <diagonal/>
    </border>
    <border>
      <left style="double">
        <color rgb="FFFF0000"/>
      </left>
      <right style="thin">
        <color rgb="FFFF0000"/>
      </right>
      <top style="thin">
        <color theme="3" tint="0.39994506668294322"/>
      </top>
      <bottom/>
      <diagonal/>
    </border>
    <border>
      <left style="thin">
        <color rgb="FFFF0000"/>
      </left>
      <right style="thin">
        <color auto="1"/>
      </right>
      <top style="thin">
        <color theme="3" tint="0.39994506668294322"/>
      </top>
      <bottom/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42" fontId="13" fillId="0" borderId="0" applyNumberFormat="0" applyFont="0" applyFill="0" applyBorder="0" applyAlignment="0" applyProtection="0">
      <alignment vertical="center"/>
    </xf>
    <xf numFmtId="0" fontId="16" fillId="0" borderId="0">
      <alignment horizontal="center" vertical="center"/>
    </xf>
    <xf numFmtId="0" fontId="16" fillId="0" borderId="0">
      <alignment vertical="center"/>
    </xf>
    <xf numFmtId="0" fontId="16" fillId="0" borderId="42">
      <alignment horizontal="center" vertical="center"/>
    </xf>
    <xf numFmtId="0" fontId="16" fillId="0" borderId="43">
      <alignment horizontal="center" vertical="center"/>
    </xf>
    <xf numFmtId="0" fontId="16" fillId="0" borderId="44">
      <alignment horizontal="center" vertical="center"/>
    </xf>
    <xf numFmtId="0" fontId="16" fillId="0" borderId="45">
      <alignment vertical="center"/>
    </xf>
    <xf numFmtId="0" fontId="16" fillId="0" borderId="44">
      <alignment vertical="center"/>
    </xf>
    <xf numFmtId="0" fontId="15" fillId="0" borderId="0">
      <alignment horizontal="left" vertical="center"/>
    </xf>
    <xf numFmtId="0" fontId="16" fillId="0" borderId="0">
      <alignment horizontal="left" vertical="center"/>
    </xf>
    <xf numFmtId="0" fontId="17" fillId="0" borderId="0">
      <alignment horizontal="center" vertical="center"/>
    </xf>
    <xf numFmtId="0" fontId="16" fillId="0" borderId="46">
      <alignment horizontal="center" vertical="center"/>
    </xf>
    <xf numFmtId="0" fontId="16" fillId="0" borderId="47">
      <alignment horizontal="center" vertical="center"/>
    </xf>
    <xf numFmtId="0" fontId="16" fillId="0" borderId="48">
      <alignment horizontal="center" vertical="center"/>
    </xf>
    <xf numFmtId="0" fontId="16" fillId="0" borderId="49">
      <alignment horizontal="center" vertical="center"/>
    </xf>
    <xf numFmtId="176" fontId="16" fillId="0" borderId="46">
      <alignment horizontal="center" vertical="center"/>
    </xf>
    <xf numFmtId="176" fontId="16" fillId="0" borderId="47">
      <alignment horizontal="center" vertical="center"/>
    </xf>
    <xf numFmtId="176" fontId="16" fillId="0" borderId="49">
      <alignment horizontal="center" vertical="center"/>
    </xf>
    <xf numFmtId="179" fontId="14" fillId="0" borderId="50">
      <alignment horizontal="center" vertical="center"/>
    </xf>
    <xf numFmtId="0" fontId="16" fillId="0" borderId="45">
      <alignment horizontal="center" vertical="center"/>
    </xf>
    <xf numFmtId="0" fontId="16" fillId="0" borderId="51">
      <alignment horizontal="center" vertical="center"/>
    </xf>
    <xf numFmtId="0" fontId="16" fillId="0" borderId="44">
      <alignment horizontal="center" vertical="center"/>
    </xf>
    <xf numFmtId="179" fontId="14" fillId="0" borderId="52">
      <alignment horizontal="center" vertical="center"/>
    </xf>
    <xf numFmtId="0" fontId="14" fillId="0" borderId="50">
      <alignment horizontal="center" vertical="center"/>
    </xf>
    <xf numFmtId="0" fontId="16" fillId="0" borderId="53">
      <alignment horizontal="center" vertical="center"/>
    </xf>
    <xf numFmtId="0" fontId="16" fillId="0" borderId="44">
      <alignment horizontal="left" vertical="center"/>
    </xf>
    <xf numFmtId="179" fontId="16" fillId="0" borderId="53">
      <alignment horizontal="center" vertical="center"/>
    </xf>
    <xf numFmtId="41" fontId="1" fillId="0" borderId="0" applyFont="0" applyFill="0" applyBorder="0" applyAlignment="0" applyProtection="0">
      <alignment vertical="center"/>
    </xf>
    <xf numFmtId="179" fontId="14" fillId="0" borderId="54">
      <alignment horizontal="center" vertical="center"/>
    </xf>
    <xf numFmtId="0" fontId="14" fillId="0" borderId="55">
      <alignment horizontal="center" vertical="center"/>
    </xf>
    <xf numFmtId="179" fontId="14" fillId="0" borderId="55">
      <alignment horizontal="center" vertical="center"/>
    </xf>
    <xf numFmtId="0" fontId="16" fillId="0" borderId="56">
      <alignment horizontal="center" vertical="center"/>
    </xf>
    <xf numFmtId="0" fontId="14" fillId="0" borderId="57">
      <alignment horizontal="center" vertical="center"/>
    </xf>
    <xf numFmtId="0" fontId="16" fillId="0" borderId="58">
      <alignment horizontal="center" vertical="center"/>
    </xf>
    <xf numFmtId="0" fontId="14" fillId="0" borderId="59">
      <alignment horizontal="center" vertical="center"/>
    </xf>
    <xf numFmtId="0" fontId="16" fillId="0" borderId="60">
      <alignment horizontal="center" vertical="center"/>
    </xf>
    <xf numFmtId="0" fontId="14" fillId="0" borderId="52">
      <alignment horizontal="center" vertical="center"/>
    </xf>
    <xf numFmtId="179" fontId="14" fillId="0" borderId="61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2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1" fontId="7" fillId="0" borderId="3" xfId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77" fontId="7" fillId="0" borderId="14" xfId="0" applyNumberFormat="1" applyFont="1" applyBorder="1" applyAlignment="1">
      <alignment horizontal="right" vertical="center" indent="1"/>
    </xf>
    <xf numFmtId="177" fontId="7" fillId="0" borderId="17" xfId="0" applyNumberFormat="1" applyFont="1" applyBorder="1" applyAlignment="1">
      <alignment horizontal="right" vertical="center" indent="1"/>
    </xf>
    <xf numFmtId="177" fontId="9" fillId="0" borderId="20" xfId="0" applyNumberFormat="1" applyFont="1" applyBorder="1" applyAlignment="1">
      <alignment horizontal="right" vertical="center" indent="1"/>
    </xf>
    <xf numFmtId="177" fontId="7" fillId="0" borderId="3" xfId="1" applyNumberFormat="1" applyFont="1" applyBorder="1" applyAlignment="1">
      <alignment horizontal="right" vertical="center" indent="1"/>
    </xf>
    <xf numFmtId="177" fontId="7" fillId="0" borderId="8" xfId="0" applyNumberFormat="1" applyFont="1" applyBorder="1" applyAlignment="1">
      <alignment horizontal="right" vertical="center" indent="1"/>
    </xf>
    <xf numFmtId="177" fontId="7" fillId="0" borderId="3" xfId="1" applyNumberFormat="1" applyFont="1" applyBorder="1" applyAlignment="1">
      <alignment horizontal="center" vertical="center"/>
    </xf>
    <xf numFmtId="42" fontId="0" fillId="0" borderId="0" xfId="43" applyFont="1" applyAlignment="1">
      <alignment horizontal="center" vertical="center"/>
    </xf>
    <xf numFmtId="41" fontId="0" fillId="0" borderId="0" xfId="1" applyFont="1">
      <alignment vertical="center"/>
    </xf>
    <xf numFmtId="0" fontId="23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5" fillId="5" borderId="3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4" borderId="3" xfId="0" applyFont="1" applyFill="1" applyBorder="1" applyAlignment="1">
      <alignment horizontal="center" vertical="center"/>
    </xf>
    <xf numFmtId="0" fontId="25" fillId="4" borderId="34" xfId="0" applyFont="1" applyFill="1" applyBorder="1" applyAlignment="1">
      <alignment horizontal="center" vertical="center"/>
    </xf>
    <xf numFmtId="0" fontId="25" fillId="5" borderId="34" xfId="0" applyFont="1" applyFill="1" applyBorder="1" applyAlignment="1">
      <alignment horizontal="center" vertical="center"/>
    </xf>
    <xf numFmtId="0" fontId="28" fillId="8" borderId="88" xfId="0" applyFont="1" applyFill="1" applyBorder="1" applyAlignment="1">
      <alignment horizontal="center" vertical="center"/>
    </xf>
    <xf numFmtId="0" fontId="28" fillId="3" borderId="88" xfId="0" applyFont="1" applyFill="1" applyBorder="1" applyAlignment="1">
      <alignment horizontal="center" vertical="center"/>
    </xf>
    <xf numFmtId="41" fontId="26" fillId="0" borderId="3" xfId="1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6" fillId="0" borderId="21" xfId="0" applyFont="1" applyBorder="1" applyAlignment="1">
      <alignment vertical="center" wrapText="1"/>
    </xf>
    <xf numFmtId="0" fontId="26" fillId="0" borderId="27" xfId="0" applyFont="1" applyBorder="1" applyAlignment="1">
      <alignment vertical="center" wrapText="1"/>
    </xf>
    <xf numFmtId="41" fontId="26" fillId="0" borderId="35" xfId="1" applyFont="1" applyBorder="1" applyAlignment="1">
      <alignment vertical="center" wrapText="1"/>
    </xf>
    <xf numFmtId="0" fontId="26" fillId="0" borderId="3" xfId="0" applyFont="1" applyBorder="1" applyAlignment="1">
      <alignment horizontal="left" vertical="center" shrinkToFit="1"/>
    </xf>
    <xf numFmtId="0" fontId="24" fillId="0" borderId="3" xfId="0" applyFont="1" applyBorder="1" applyAlignment="1">
      <alignment horizontal="left" vertical="center" shrinkToFit="1"/>
    </xf>
    <xf numFmtId="0" fontId="26" fillId="0" borderId="3" xfId="0" applyFont="1" applyBorder="1" applyAlignment="1">
      <alignment vertical="center" shrinkToFit="1"/>
    </xf>
    <xf numFmtId="0" fontId="26" fillId="0" borderId="35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23" fillId="0" borderId="0" xfId="0" applyFont="1" applyAlignment="1">
      <alignment vertical="center" shrinkToFit="1"/>
    </xf>
    <xf numFmtId="0" fontId="24" fillId="0" borderId="35" xfId="0" applyFont="1" applyBorder="1" applyAlignment="1">
      <alignment horizontal="left" vertical="center" shrinkToFit="1"/>
    </xf>
    <xf numFmtId="0" fontId="21" fillId="0" borderId="0" xfId="1" applyNumberFormat="1" applyFont="1" applyFill="1" applyBorder="1" applyAlignment="1" applyProtection="1">
      <alignment vertical="center"/>
    </xf>
    <xf numFmtId="0" fontId="19" fillId="0" borderId="0" xfId="1" applyNumberFormat="1" applyFont="1" applyFill="1" applyBorder="1" applyAlignment="1" applyProtection="1">
      <alignment vertical="center"/>
    </xf>
    <xf numFmtId="0" fontId="31" fillId="0" borderId="0" xfId="1" applyNumberFormat="1" applyFont="1" applyFill="1" applyBorder="1" applyAlignment="1" applyProtection="1">
      <alignment horizontal="center" vertical="center"/>
    </xf>
    <xf numFmtId="0" fontId="32" fillId="0" borderId="0" xfId="1" applyNumberFormat="1" applyFont="1" applyFill="1" applyBorder="1" applyAlignment="1" applyProtection="1"/>
    <xf numFmtId="0" fontId="32" fillId="0" borderId="0" xfId="1" applyNumberFormat="1" applyFont="1" applyFill="1" applyBorder="1" applyAlignment="1" applyProtection="1">
      <alignment vertical="center"/>
    </xf>
    <xf numFmtId="0" fontId="33" fillId="0" borderId="0" xfId="1" applyNumberFormat="1" applyFont="1" applyFill="1" applyBorder="1" applyAlignment="1" applyProtection="1">
      <alignment horizontal="right"/>
    </xf>
    <xf numFmtId="0" fontId="32" fillId="0" borderId="3" xfId="1" applyNumberFormat="1" applyFont="1" applyFill="1" applyBorder="1" applyAlignment="1" applyProtection="1">
      <alignment horizontal="center" vertical="center"/>
    </xf>
    <xf numFmtId="0" fontId="32" fillId="0" borderId="81" xfId="1" applyNumberFormat="1" applyFont="1" applyFill="1" applyBorder="1" applyAlignment="1" applyProtection="1">
      <alignment horizontal="center" vertical="center"/>
    </xf>
    <xf numFmtId="0" fontId="32" fillId="0" borderId="38" xfId="1" applyNumberFormat="1" applyFont="1" applyFill="1" applyBorder="1" applyAlignment="1" applyProtection="1">
      <alignment horizontal="center" vertical="center" wrapText="1"/>
    </xf>
    <xf numFmtId="41" fontId="32" fillId="10" borderId="3" xfId="1" applyFont="1" applyFill="1" applyBorder="1" applyAlignment="1" applyProtection="1">
      <alignment vertical="center"/>
    </xf>
    <xf numFmtId="41" fontId="32" fillId="0" borderId="92" xfId="1" applyNumberFormat="1" applyFont="1" applyFill="1" applyBorder="1" applyAlignment="1" applyProtection="1">
      <alignment horizontal="center" vertical="center"/>
    </xf>
    <xf numFmtId="0" fontId="32" fillId="11" borderId="95" xfId="1" applyNumberFormat="1" applyFont="1" applyFill="1" applyBorder="1" applyAlignment="1" applyProtection="1">
      <alignment horizontal="center" vertical="center"/>
    </xf>
    <xf numFmtId="0" fontId="32" fillId="11" borderId="70" xfId="1" applyNumberFormat="1" applyFont="1" applyFill="1" applyBorder="1" applyAlignment="1" applyProtection="1">
      <alignment horizontal="center" vertical="center"/>
    </xf>
    <xf numFmtId="0" fontId="32" fillId="0" borderId="96" xfId="1" applyNumberFormat="1" applyFont="1" applyFill="1" applyBorder="1" applyAlignment="1" applyProtection="1">
      <alignment vertical="center"/>
    </xf>
    <xf numFmtId="41" fontId="32" fillId="0" borderId="70" xfId="1" applyFont="1" applyFill="1" applyBorder="1" applyAlignment="1" applyProtection="1">
      <alignment vertical="center"/>
    </xf>
    <xf numFmtId="0" fontId="32" fillId="0" borderId="83" xfId="1" applyNumberFormat="1" applyFont="1" applyFill="1" applyBorder="1" applyAlignment="1" applyProtection="1">
      <alignment vertical="center"/>
    </xf>
    <xf numFmtId="41" fontId="32" fillId="0" borderId="0" xfId="1" applyFont="1" applyFill="1" applyBorder="1" applyAlignment="1" applyProtection="1">
      <alignment vertical="center"/>
    </xf>
    <xf numFmtId="0" fontId="32" fillId="0" borderId="85" xfId="1" applyNumberFormat="1" applyFont="1" applyFill="1" applyBorder="1" applyAlignment="1" applyProtection="1">
      <alignment vertical="center"/>
    </xf>
    <xf numFmtId="0" fontId="32" fillId="0" borderId="98" xfId="1" applyNumberFormat="1" applyFont="1" applyFill="1" applyBorder="1" applyAlignment="1" applyProtection="1">
      <alignment vertical="center"/>
    </xf>
    <xf numFmtId="0" fontId="32" fillId="0" borderId="78" xfId="1" applyNumberFormat="1" applyFont="1" applyFill="1" applyBorder="1" applyAlignment="1" applyProtection="1">
      <alignment vertical="center"/>
    </xf>
    <xf numFmtId="0" fontId="35" fillId="0" borderId="88" xfId="1" applyNumberFormat="1" applyFont="1" applyFill="1" applyBorder="1" applyAlignment="1" applyProtection="1">
      <alignment horizontal="center" vertical="center" shrinkToFit="1"/>
    </xf>
    <xf numFmtId="41" fontId="34" fillId="0" borderId="88" xfId="1" applyNumberFormat="1" applyFont="1" applyFill="1" applyBorder="1" applyAlignment="1" applyProtection="1">
      <alignment vertical="center"/>
    </xf>
    <xf numFmtId="41" fontId="36" fillId="0" borderId="0" xfId="1" applyFont="1" applyFill="1" applyBorder="1" applyAlignment="1" applyProtection="1">
      <alignment vertical="center"/>
    </xf>
    <xf numFmtId="0" fontId="37" fillId="0" borderId="0" xfId="1" applyNumberFormat="1" applyFont="1" applyFill="1" applyBorder="1" applyAlignment="1" applyProtection="1">
      <alignment vertical="center"/>
    </xf>
    <xf numFmtId="0" fontId="38" fillId="0" borderId="0" xfId="1" applyNumberFormat="1" applyFont="1" applyFill="1" applyBorder="1" applyAlignment="1" applyProtection="1">
      <alignment vertical="center"/>
    </xf>
    <xf numFmtId="0" fontId="31" fillId="0" borderId="88" xfId="1" applyNumberFormat="1" applyFont="1" applyFill="1" applyBorder="1" applyAlignment="1" applyProtection="1">
      <alignment horizontal="center" vertical="center"/>
    </xf>
    <xf numFmtId="0" fontId="38" fillId="0" borderId="88" xfId="1" applyNumberFormat="1" applyFont="1" applyFill="1" applyBorder="1" applyAlignment="1" applyProtection="1">
      <alignment horizontal="center" vertical="center"/>
    </xf>
    <xf numFmtId="0" fontId="39" fillId="0" borderId="0" xfId="1" applyNumberFormat="1" applyFont="1" applyFill="1" applyBorder="1" applyAlignment="1" applyProtection="1">
      <alignment vertical="center"/>
    </xf>
    <xf numFmtId="41" fontId="18" fillId="0" borderId="0" xfId="1" applyFont="1" applyFill="1" applyBorder="1" applyAlignment="1" applyProtection="1">
      <alignment vertical="center"/>
    </xf>
    <xf numFmtId="41" fontId="32" fillId="12" borderId="3" xfId="1" applyFont="1" applyFill="1" applyBorder="1" applyAlignment="1" applyProtection="1">
      <alignment vertical="center"/>
    </xf>
    <xf numFmtId="41" fontId="0" fillId="12" borderId="84" xfId="0" applyNumberFormat="1" applyFill="1" applyBorder="1">
      <alignment vertical="center"/>
    </xf>
    <xf numFmtId="0" fontId="0" fillId="0" borderId="23" xfId="0" applyFill="1" applyBorder="1">
      <alignment vertical="center"/>
    </xf>
    <xf numFmtId="0" fontId="32" fillId="0" borderId="4" xfId="1" applyNumberFormat="1" applyFont="1" applyFill="1" applyBorder="1" applyAlignment="1" applyProtection="1">
      <alignment horizontal="center" vertical="center"/>
    </xf>
    <xf numFmtId="41" fontId="31" fillId="11" borderId="5" xfId="1" applyFont="1" applyFill="1" applyBorder="1" applyAlignment="1" applyProtection="1">
      <alignment vertical="center"/>
    </xf>
    <xf numFmtId="41" fontId="31" fillId="0" borderId="5" xfId="1" applyFont="1" applyFill="1" applyBorder="1" applyAlignment="1" applyProtection="1">
      <alignment vertical="center"/>
    </xf>
    <xf numFmtId="41" fontId="31" fillId="0" borderId="72" xfId="1" applyFont="1" applyFill="1" applyBorder="1" applyAlignment="1" applyProtection="1">
      <alignment vertical="center"/>
    </xf>
    <xf numFmtId="41" fontId="31" fillId="0" borderId="103" xfId="1" applyFont="1" applyFill="1" applyBorder="1" applyAlignment="1" applyProtection="1">
      <alignment vertical="center"/>
    </xf>
    <xf numFmtId="0" fontId="32" fillId="0" borderId="40" xfId="1" applyNumberFormat="1" applyFont="1" applyFill="1" applyBorder="1" applyAlignment="1" applyProtection="1">
      <alignment horizontal="center" vertical="center"/>
    </xf>
    <xf numFmtId="41" fontId="31" fillId="0" borderId="41" xfId="1" applyFont="1" applyFill="1" applyBorder="1" applyAlignment="1" applyProtection="1">
      <alignment vertical="center"/>
    </xf>
    <xf numFmtId="41" fontId="31" fillId="0" borderId="29" xfId="1" applyFont="1" applyFill="1" applyBorder="1" applyAlignment="1" applyProtection="1">
      <alignment vertical="center"/>
    </xf>
    <xf numFmtId="41" fontId="31" fillId="0" borderId="88" xfId="1" applyNumberFormat="1" applyFont="1" applyFill="1" applyBorder="1" applyAlignment="1" applyProtection="1">
      <alignment vertical="center"/>
    </xf>
    <xf numFmtId="0" fontId="38" fillId="9" borderId="0" xfId="1" applyNumberFormat="1" applyFont="1" applyFill="1" applyBorder="1" applyAlignment="1" applyProtection="1">
      <alignment vertical="center"/>
    </xf>
    <xf numFmtId="0" fontId="38" fillId="9" borderId="0" xfId="1" applyNumberFormat="1" applyFont="1" applyFill="1" applyBorder="1" applyAlignment="1" applyProtection="1">
      <alignment horizontal="center" vertical="center"/>
    </xf>
    <xf numFmtId="180" fontId="40" fillId="6" borderId="63" xfId="0" applyNumberFormat="1" applyFont="1" applyFill="1" applyBorder="1" applyAlignment="1">
      <alignment horizontal="center" vertical="center"/>
    </xf>
    <xf numFmtId="0" fontId="40" fillId="6" borderId="64" xfId="0" applyFont="1" applyFill="1" applyBorder="1" applyAlignment="1">
      <alignment vertical="center" shrinkToFit="1"/>
    </xf>
    <xf numFmtId="178" fontId="40" fillId="6" borderId="65" xfId="1" applyNumberFormat="1" applyFont="1" applyFill="1" applyBorder="1" applyAlignment="1">
      <alignment vertical="center"/>
    </xf>
    <xf numFmtId="178" fontId="40" fillId="6" borderId="64" xfId="1" applyNumberFormat="1" applyFont="1" applyFill="1" applyBorder="1" applyAlignment="1">
      <alignment vertical="center"/>
    </xf>
    <xf numFmtId="178" fontId="40" fillId="6" borderId="67" xfId="1" applyNumberFormat="1" applyFont="1" applyFill="1" applyBorder="1" applyAlignment="1">
      <alignment vertical="center"/>
    </xf>
    <xf numFmtId="178" fontId="23" fillId="6" borderId="69" xfId="1" applyNumberFormat="1" applyFont="1" applyFill="1" applyBorder="1" applyAlignment="1">
      <alignment horizontal="left" vertical="center" shrinkToFit="1"/>
    </xf>
    <xf numFmtId="178" fontId="26" fillId="6" borderId="0" xfId="1" applyNumberFormat="1" applyFont="1" applyFill="1" applyBorder="1" applyAlignment="1">
      <alignment horizontal="center" vertical="center"/>
    </xf>
    <xf numFmtId="178" fontId="26" fillId="6" borderId="0" xfId="1" applyNumberFormat="1" applyFont="1" applyFill="1" applyBorder="1">
      <alignment vertical="center"/>
    </xf>
    <xf numFmtId="0" fontId="26" fillId="6" borderId="0" xfId="0" applyFont="1" applyFill="1" applyAlignment="1">
      <alignment horizontal="center" vertical="center"/>
    </xf>
    <xf numFmtId="0" fontId="41" fillId="6" borderId="64" xfId="0" applyNumberFormat="1" applyFont="1" applyFill="1" applyBorder="1" applyAlignment="1" applyProtection="1">
      <alignment vertical="center" shrinkToFit="1"/>
    </xf>
    <xf numFmtId="178" fontId="42" fillId="6" borderId="65" xfId="1" applyNumberFormat="1" applyFont="1" applyFill="1" applyBorder="1" applyAlignment="1" applyProtection="1">
      <alignment vertical="center"/>
    </xf>
    <xf numFmtId="178" fontId="42" fillId="6" borderId="64" xfId="1" applyNumberFormat="1" applyFont="1" applyFill="1" applyBorder="1" applyAlignment="1" applyProtection="1">
      <alignment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26" fillId="0" borderId="35" xfId="0" applyFont="1" applyBorder="1" applyAlignment="1">
      <alignment vertical="center" wrapText="1"/>
    </xf>
    <xf numFmtId="0" fontId="26" fillId="0" borderId="112" xfId="0" applyFont="1" applyBorder="1" applyAlignment="1">
      <alignment horizontal="left" vertical="center" wrapText="1"/>
    </xf>
    <xf numFmtId="0" fontId="26" fillId="0" borderId="113" xfId="0" applyFont="1" applyBorder="1" applyAlignment="1">
      <alignment vertical="center" wrapText="1"/>
    </xf>
    <xf numFmtId="41" fontId="25" fillId="13" borderId="108" xfId="0" applyNumberFormat="1" applyFont="1" applyFill="1" applyBorder="1" applyAlignment="1">
      <alignment horizontal="left" vertical="center"/>
    </xf>
    <xf numFmtId="41" fontId="29" fillId="13" borderId="108" xfId="0" applyNumberFormat="1" applyFont="1" applyFill="1" applyBorder="1" applyAlignment="1">
      <alignment horizontal="right" vertical="center"/>
    </xf>
    <xf numFmtId="0" fontId="26" fillId="0" borderId="34" xfId="0" applyFont="1" applyBorder="1" applyAlignment="1">
      <alignment horizontal="left" vertical="center" shrinkToFit="1"/>
    </xf>
    <xf numFmtId="41" fontId="26" fillId="0" borderId="34" xfId="1" applyFont="1" applyBorder="1" applyAlignment="1">
      <alignment vertical="center" wrapText="1"/>
    </xf>
    <xf numFmtId="0" fontId="24" fillId="0" borderId="34" xfId="0" applyFont="1" applyBorder="1" applyAlignment="1">
      <alignment horizontal="left" vertical="center" shrinkToFit="1"/>
    </xf>
    <xf numFmtId="0" fontId="29" fillId="7" borderId="117" xfId="0" applyFont="1" applyFill="1" applyBorder="1" applyAlignment="1">
      <alignment horizontal="center" vertical="center" wrapText="1"/>
    </xf>
    <xf numFmtId="0" fontId="29" fillId="7" borderId="105" xfId="0" applyFont="1" applyFill="1" applyBorder="1" applyAlignment="1">
      <alignment horizontal="center" vertical="center" shrinkToFit="1"/>
    </xf>
    <xf numFmtId="0" fontId="29" fillId="7" borderId="119" xfId="0" applyFont="1" applyFill="1" applyBorder="1" applyAlignment="1">
      <alignment horizontal="center" vertical="center" wrapText="1"/>
    </xf>
    <xf numFmtId="41" fontId="29" fillId="0" borderId="21" xfId="1" applyFont="1" applyBorder="1" applyAlignment="1">
      <alignment vertical="center" wrapText="1"/>
    </xf>
    <xf numFmtId="0" fontId="29" fillId="0" borderId="27" xfId="0" applyFont="1" applyBorder="1" applyAlignment="1">
      <alignment vertical="center" wrapText="1"/>
    </xf>
    <xf numFmtId="41" fontId="29" fillId="13" borderId="110" xfId="1" applyFont="1" applyFill="1" applyBorder="1" applyAlignment="1">
      <alignment vertical="center" wrapText="1"/>
    </xf>
    <xf numFmtId="41" fontId="29" fillId="14" borderId="110" xfId="0" applyNumberFormat="1" applyFont="1" applyFill="1" applyBorder="1" applyAlignment="1">
      <alignment horizontal="right" vertical="center"/>
    </xf>
    <xf numFmtId="0" fontId="29" fillId="0" borderId="4" xfId="0" applyFont="1" applyBorder="1" applyAlignment="1">
      <alignment horizontal="center" vertical="center"/>
    </xf>
    <xf numFmtId="14" fontId="29" fillId="0" borderId="6" xfId="0" applyNumberFormat="1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14" fontId="29" fillId="4" borderId="8" xfId="0" applyNumberFormat="1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14" fontId="29" fillId="4" borderId="11" xfId="0" applyNumberFormat="1" applyFont="1" applyFill="1" applyBorder="1" applyAlignment="1">
      <alignment horizontal="center" vertical="center"/>
    </xf>
    <xf numFmtId="0" fontId="26" fillId="0" borderId="24" xfId="0" applyFont="1" applyBorder="1" applyAlignment="1">
      <alignment vertical="center" wrapText="1"/>
    </xf>
    <xf numFmtId="41" fontId="29" fillId="0" borderId="84" xfId="1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indent="1" shrinkToFit="1"/>
    </xf>
    <xf numFmtId="0" fontId="9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 indent="1" shrinkToFit="1"/>
    </xf>
    <xf numFmtId="0" fontId="7" fillId="0" borderId="18" xfId="0" applyFont="1" applyBorder="1" applyAlignment="1">
      <alignment horizontal="left" vertical="center" indent="1" shrinkToFit="1"/>
    </xf>
    <xf numFmtId="0" fontId="7" fillId="0" borderId="19" xfId="0" applyFont="1" applyBorder="1" applyAlignment="1">
      <alignment horizontal="left" vertical="center" indent="1" shrinkToFit="1"/>
    </xf>
    <xf numFmtId="0" fontId="7" fillId="0" borderId="13" xfId="0" applyFont="1" applyBorder="1" applyAlignment="1">
      <alignment horizontal="left" vertical="center" indent="1" shrinkToFit="1"/>
    </xf>
    <xf numFmtId="177" fontId="7" fillId="0" borderId="16" xfId="1" applyNumberFormat="1" applyFont="1" applyBorder="1" applyAlignment="1">
      <alignment horizontal="right" vertical="center" indent="1" shrinkToFit="1"/>
    </xf>
    <xf numFmtId="41" fontId="7" fillId="0" borderId="3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77" fontId="11" fillId="0" borderId="27" xfId="0" applyNumberFormat="1" applyFont="1" applyBorder="1" applyAlignment="1">
      <alignment horizontal="center" vertical="top"/>
    </xf>
    <xf numFmtId="0" fontId="11" fillId="0" borderId="28" xfId="0" applyFont="1" applyBorder="1" applyAlignment="1">
      <alignment horizontal="center" vertical="top"/>
    </xf>
    <xf numFmtId="0" fontId="11" fillId="0" borderId="29" xfId="0" applyFont="1" applyBorder="1" applyAlignment="1">
      <alignment horizontal="center" vertical="top"/>
    </xf>
    <xf numFmtId="0" fontId="11" fillId="0" borderId="30" xfId="0" applyFont="1" applyBorder="1" applyAlignment="1">
      <alignment horizontal="center" vertical="top"/>
    </xf>
    <xf numFmtId="177" fontId="11" fillId="0" borderId="27" xfId="1" applyNumberFormat="1" applyFont="1" applyBorder="1" applyAlignment="1">
      <alignment horizontal="center" vertical="top"/>
    </xf>
    <xf numFmtId="41" fontId="11" fillId="0" borderId="31" xfId="1" applyFont="1" applyBorder="1" applyAlignment="1">
      <alignment horizontal="center" vertical="top"/>
    </xf>
    <xf numFmtId="41" fontId="11" fillId="0" borderId="28" xfId="1" applyFont="1" applyBorder="1" applyAlignment="1">
      <alignment horizontal="center" vertical="top"/>
    </xf>
    <xf numFmtId="41" fontId="11" fillId="0" borderId="29" xfId="1" applyFont="1" applyBorder="1" applyAlignment="1">
      <alignment horizontal="center" vertical="top"/>
    </xf>
    <xf numFmtId="41" fontId="11" fillId="0" borderId="2" xfId="1" applyFont="1" applyBorder="1" applyAlignment="1">
      <alignment horizontal="center" vertical="top"/>
    </xf>
    <xf numFmtId="41" fontId="11" fillId="0" borderId="30" xfId="1" applyFont="1" applyBorder="1" applyAlignment="1">
      <alignment horizontal="center" vertical="top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7" fontId="7" fillId="0" borderId="25" xfId="1" applyNumberFormat="1" applyFont="1" applyBorder="1" applyAlignment="1">
      <alignment horizontal="right" vertical="center" indent="1" shrinkToFit="1"/>
    </xf>
    <xf numFmtId="177" fontId="7" fillId="0" borderId="26" xfId="1" applyNumberFormat="1" applyFont="1" applyBorder="1" applyAlignment="1">
      <alignment horizontal="right" vertical="center" indent="1" shrinkToFit="1"/>
    </xf>
    <xf numFmtId="177" fontId="7" fillId="0" borderId="32" xfId="1" applyNumberFormat="1" applyFont="1" applyBorder="1" applyAlignment="1">
      <alignment horizontal="right" vertical="center" indent="1" shrinkToFit="1"/>
    </xf>
    <xf numFmtId="177" fontId="7" fillId="0" borderId="33" xfId="1" applyNumberFormat="1" applyFont="1" applyBorder="1" applyAlignment="1">
      <alignment horizontal="right" vertical="center" indent="1" shrinkToFit="1"/>
    </xf>
    <xf numFmtId="177" fontId="7" fillId="0" borderId="19" xfId="1" applyNumberFormat="1" applyFont="1" applyBorder="1" applyAlignment="1">
      <alignment horizontal="right" vertical="center" indent="1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177" fontId="7" fillId="0" borderId="3" xfId="1" applyNumberFormat="1" applyFont="1" applyBorder="1" applyAlignment="1">
      <alignment horizontal="right" vertical="center" indent="1"/>
    </xf>
    <xf numFmtId="0" fontId="7" fillId="0" borderId="3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41" fontId="12" fillId="0" borderId="3" xfId="1" applyFont="1" applyBorder="1" applyAlignment="1">
      <alignment horizontal="center" vertical="center"/>
    </xf>
    <xf numFmtId="177" fontId="7" fillId="0" borderId="21" xfId="1" applyNumberFormat="1" applyFont="1" applyBorder="1" applyAlignment="1">
      <alignment horizontal="right" vertical="center" indent="1"/>
    </xf>
    <xf numFmtId="177" fontId="7" fillId="0" borderId="24" xfId="1" applyNumberFormat="1" applyFont="1" applyBorder="1" applyAlignment="1">
      <alignment horizontal="right" vertical="center" inden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indent="1" shrinkToFit="1"/>
    </xf>
    <xf numFmtId="176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1" fontId="9" fillId="0" borderId="22" xfId="1" applyFont="1" applyBorder="1" applyAlignment="1">
      <alignment horizontal="center" vertical="center"/>
    </xf>
    <xf numFmtId="177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34" fillId="12" borderId="87" xfId="1" applyFont="1" applyFill="1" applyBorder="1" applyAlignment="1" applyProtection="1">
      <alignment vertical="center"/>
    </xf>
    <xf numFmtId="41" fontId="34" fillId="12" borderId="29" xfId="1" applyFont="1" applyFill="1" applyBorder="1" applyAlignment="1" applyProtection="1">
      <alignment vertical="center"/>
    </xf>
    <xf numFmtId="0" fontId="38" fillId="0" borderId="0" xfId="1" applyNumberFormat="1" applyFont="1" applyFill="1" applyBorder="1" applyAlignment="1" applyProtection="1">
      <alignment horizontal="distributed" vertical="center"/>
    </xf>
    <xf numFmtId="0" fontId="31" fillId="0" borderId="102" xfId="1" applyNumberFormat="1" applyFont="1" applyFill="1" applyBorder="1" applyAlignment="1" applyProtection="1">
      <alignment horizontal="right" vertical="center"/>
    </xf>
    <xf numFmtId="0" fontId="31" fillId="0" borderId="74" xfId="1" applyNumberFormat="1" applyFont="1" applyFill="1" applyBorder="1" applyAlignment="1" applyProtection="1">
      <alignment horizontal="right" vertical="center"/>
    </xf>
    <xf numFmtId="0" fontId="38" fillId="9" borderId="0" xfId="1" applyNumberFormat="1" applyFont="1" applyFill="1" applyBorder="1" applyAlignment="1" applyProtection="1">
      <alignment vertical="center"/>
    </xf>
    <xf numFmtId="0" fontId="38" fillId="0" borderId="102" xfId="1" applyNumberFormat="1" applyFont="1" applyFill="1" applyBorder="1" applyAlignment="1" applyProtection="1">
      <alignment horizontal="right" vertical="center"/>
    </xf>
    <xf numFmtId="0" fontId="38" fillId="0" borderId="74" xfId="1" applyNumberFormat="1" applyFont="1" applyFill="1" applyBorder="1" applyAlignment="1" applyProtection="1">
      <alignment horizontal="right" vertical="center"/>
    </xf>
    <xf numFmtId="0" fontId="32" fillId="0" borderId="22" xfId="1" applyNumberFormat="1" applyFont="1" applyFill="1" applyBorder="1" applyAlignment="1" applyProtection="1">
      <alignment vertical="center"/>
    </xf>
    <xf numFmtId="0" fontId="32" fillId="0" borderId="24" xfId="1" applyNumberFormat="1" applyFont="1" applyFill="1" applyBorder="1" applyAlignment="1" applyProtection="1">
      <alignment vertical="center"/>
    </xf>
    <xf numFmtId="0" fontId="32" fillId="0" borderId="71" xfId="1" applyNumberFormat="1" applyFont="1" applyFill="1" applyBorder="1" applyAlignment="1" applyProtection="1">
      <alignment horizontal="center" vertical="center"/>
    </xf>
    <xf numFmtId="0" fontId="32" fillId="0" borderId="40" xfId="1" applyNumberFormat="1" applyFont="1" applyFill="1" applyBorder="1" applyAlignment="1" applyProtection="1">
      <alignment horizontal="center" vertical="center"/>
    </xf>
    <xf numFmtId="41" fontId="34" fillId="12" borderId="99" xfId="1" applyFont="1" applyFill="1" applyBorder="1" applyAlignment="1" applyProtection="1">
      <alignment vertical="center"/>
    </xf>
    <xf numFmtId="41" fontId="34" fillId="12" borderId="41" xfId="1" applyFont="1" applyFill="1" applyBorder="1" applyAlignment="1" applyProtection="1">
      <alignment vertical="center"/>
    </xf>
    <xf numFmtId="41" fontId="34" fillId="12" borderId="100" xfId="1" applyFont="1" applyFill="1" applyBorder="1" applyAlignment="1" applyProtection="1">
      <alignment vertical="center"/>
    </xf>
    <xf numFmtId="41" fontId="34" fillId="12" borderId="79" xfId="1" applyFont="1" applyFill="1" applyBorder="1" applyAlignment="1" applyProtection="1">
      <alignment vertical="center"/>
    </xf>
    <xf numFmtId="0" fontId="32" fillId="0" borderId="82" xfId="1" applyNumberFormat="1" applyFont="1" applyFill="1" applyBorder="1" applyAlignment="1" applyProtection="1">
      <alignment horizontal="center" vertical="center"/>
    </xf>
    <xf numFmtId="0" fontId="32" fillId="0" borderId="101" xfId="1" applyNumberFormat="1" applyFont="1" applyFill="1" applyBorder="1" applyAlignment="1" applyProtection="1">
      <alignment horizontal="center" vertical="center"/>
    </xf>
    <xf numFmtId="0" fontId="32" fillId="0" borderId="99" xfId="1" applyNumberFormat="1" applyFont="1" applyFill="1" applyBorder="1" applyAlignment="1" applyProtection="1">
      <alignment horizontal="center" vertical="center"/>
    </xf>
    <xf numFmtId="0" fontId="32" fillId="0" borderId="80" xfId="1" applyNumberFormat="1" applyFont="1" applyFill="1" applyBorder="1" applyAlignment="1" applyProtection="1">
      <alignment horizontal="center" vertical="center"/>
    </xf>
    <xf numFmtId="0" fontId="32" fillId="0" borderId="30" xfId="1" applyNumberFormat="1" applyFont="1" applyFill="1" applyBorder="1" applyAlignment="1" applyProtection="1">
      <alignment horizontal="center" vertical="center"/>
    </xf>
    <xf numFmtId="0" fontId="32" fillId="0" borderId="41" xfId="1" applyNumberFormat="1" applyFont="1" applyFill="1" applyBorder="1" applyAlignment="1" applyProtection="1">
      <alignment horizontal="center" vertical="center"/>
    </xf>
    <xf numFmtId="41" fontId="32" fillId="0" borderId="77" xfId="1" applyFont="1" applyFill="1" applyBorder="1" applyAlignment="1" applyProtection="1">
      <alignment vertical="center"/>
    </xf>
    <xf numFmtId="41" fontId="32" fillId="0" borderId="94" xfId="1" applyFont="1" applyFill="1" applyBorder="1" applyAlignment="1" applyProtection="1">
      <alignment vertical="center"/>
    </xf>
    <xf numFmtId="0" fontId="32" fillId="0" borderId="37" xfId="1" applyNumberFormat="1" applyFont="1" applyFill="1" applyBorder="1" applyAlignment="1" applyProtection="1">
      <alignment horizontal="center" vertical="center"/>
    </xf>
    <xf numFmtId="41" fontId="32" fillId="0" borderId="35" xfId="1" applyFont="1" applyFill="1" applyBorder="1" applyAlignment="1" applyProtection="1">
      <alignment vertical="center"/>
    </xf>
    <xf numFmtId="41" fontId="32" fillId="0" borderId="34" xfId="1" applyFont="1" applyFill="1" applyBorder="1" applyAlignment="1" applyProtection="1">
      <alignment vertical="center"/>
    </xf>
    <xf numFmtId="0" fontId="32" fillId="0" borderId="39" xfId="1" applyNumberFormat="1" applyFont="1" applyFill="1" applyBorder="1" applyAlignment="1" applyProtection="1">
      <alignment horizontal="center" vertical="center"/>
    </xf>
    <xf numFmtId="0" fontId="32" fillId="0" borderId="38" xfId="1" applyNumberFormat="1" applyFont="1" applyFill="1" applyBorder="1" applyAlignment="1" applyProtection="1">
      <alignment horizontal="center" vertical="center"/>
    </xf>
    <xf numFmtId="0" fontId="32" fillId="11" borderId="22" xfId="1" applyNumberFormat="1" applyFont="1" applyFill="1" applyBorder="1" applyAlignment="1" applyProtection="1">
      <alignment horizontal="center" vertical="center"/>
    </xf>
    <xf numFmtId="0" fontId="32" fillId="11" borderId="23" xfId="1" applyNumberFormat="1" applyFont="1" applyFill="1" applyBorder="1" applyAlignment="1" applyProtection="1">
      <alignment horizontal="center" vertical="center"/>
    </xf>
    <xf numFmtId="41" fontId="32" fillId="11" borderId="35" xfId="1" applyFont="1" applyFill="1" applyBorder="1" applyAlignment="1" applyProtection="1">
      <alignment vertical="center"/>
    </xf>
    <xf numFmtId="41" fontId="32" fillId="11" borderId="97" xfId="1" applyFont="1" applyFill="1" applyBorder="1" applyAlignment="1" applyProtection="1">
      <alignment vertical="center"/>
    </xf>
    <xf numFmtId="41" fontId="32" fillId="11" borderId="41" xfId="1" applyFont="1" applyFill="1" applyBorder="1" applyAlignment="1" applyProtection="1">
      <alignment vertical="center"/>
    </xf>
    <xf numFmtId="0" fontId="30" fillId="0" borderId="0" xfId="1" applyNumberFormat="1" applyFont="1" applyFill="1" applyBorder="1" applyAlignment="1" applyProtection="1">
      <alignment horizontal="center" vertical="center"/>
    </xf>
    <xf numFmtId="0" fontId="31" fillId="9" borderId="2" xfId="1" applyNumberFormat="1" applyFont="1" applyFill="1" applyBorder="1" applyAlignment="1" applyProtection="1">
      <alignment vertical="center"/>
    </xf>
    <xf numFmtId="0" fontId="32" fillId="0" borderId="71" xfId="1" applyNumberFormat="1" applyFont="1" applyFill="1" applyBorder="1" applyAlignment="1" applyProtection="1">
      <alignment horizontal="center" vertical="center" wrapText="1"/>
    </xf>
    <xf numFmtId="0" fontId="32" fillId="0" borderId="38" xfId="1" applyNumberFormat="1" applyFont="1" applyFill="1" applyBorder="1" applyAlignment="1" applyProtection="1">
      <alignment horizontal="center" vertical="center" wrapText="1"/>
    </xf>
    <xf numFmtId="0" fontId="32" fillId="0" borderId="39" xfId="1" applyNumberFormat="1" applyFont="1" applyFill="1" applyBorder="1" applyAlignment="1" applyProtection="1">
      <alignment horizontal="center" vertical="center" wrapText="1"/>
    </xf>
    <xf numFmtId="0" fontId="31" fillId="0" borderId="72" xfId="1" applyNumberFormat="1" applyFont="1" applyFill="1" applyBorder="1" applyAlignment="1" applyProtection="1">
      <alignment horizontal="center" vertical="center"/>
    </xf>
    <xf numFmtId="0" fontId="31" fillId="0" borderId="1" xfId="1" applyNumberFormat="1" applyFont="1" applyFill="1" applyBorder="1" applyAlignment="1" applyProtection="1">
      <alignment horizontal="center" vertical="center"/>
    </xf>
    <xf numFmtId="0" fontId="31" fillId="0" borderId="90" xfId="1" applyNumberFormat="1" applyFont="1" applyFill="1" applyBorder="1" applyAlignment="1" applyProtection="1">
      <alignment horizontal="center" vertical="center"/>
    </xf>
    <xf numFmtId="0" fontId="31" fillId="0" borderId="75" xfId="1" applyNumberFormat="1" applyFont="1" applyFill="1" applyBorder="1" applyAlignment="1" applyProtection="1">
      <alignment horizontal="center" vertical="center"/>
    </xf>
    <xf numFmtId="0" fontId="31" fillId="0" borderId="36" xfId="1" applyNumberFormat="1" applyFont="1" applyFill="1" applyBorder="1" applyAlignment="1" applyProtection="1">
      <alignment horizontal="center" vertical="center"/>
    </xf>
    <xf numFmtId="0" fontId="31" fillId="0" borderId="91" xfId="1" applyNumberFormat="1" applyFont="1" applyFill="1" applyBorder="1" applyAlignment="1" applyProtection="1">
      <alignment horizontal="center" vertical="center"/>
    </xf>
    <xf numFmtId="0" fontId="32" fillId="0" borderId="76" xfId="1" applyNumberFormat="1" applyFont="1" applyFill="1" applyBorder="1" applyAlignment="1" applyProtection="1">
      <alignment horizontal="center" vertical="center"/>
    </xf>
    <xf numFmtId="0" fontId="32" fillId="0" borderId="78" xfId="1" applyNumberFormat="1" applyFont="1" applyFill="1" applyBorder="1" applyAlignment="1" applyProtection="1">
      <alignment horizontal="center" vertical="center"/>
    </xf>
    <xf numFmtId="0" fontId="32" fillId="0" borderId="83" xfId="1" applyNumberFormat="1" applyFont="1" applyFill="1" applyBorder="1" applyAlignment="1" applyProtection="1">
      <alignment horizontal="center" vertical="center"/>
    </xf>
    <xf numFmtId="0" fontId="32" fillId="0" borderId="35" xfId="1" applyNumberFormat="1" applyFont="1" applyFill="1" applyBorder="1" applyAlignment="1" applyProtection="1">
      <alignment horizontal="center" vertical="center"/>
    </xf>
    <xf numFmtId="0" fontId="32" fillId="0" borderId="34" xfId="1" applyNumberFormat="1" applyFont="1" applyFill="1" applyBorder="1" applyAlignment="1" applyProtection="1">
      <alignment horizontal="center" vertical="center"/>
    </xf>
    <xf numFmtId="0" fontId="32" fillId="0" borderId="27" xfId="1" applyNumberFormat="1" applyFont="1" applyFill="1" applyBorder="1" applyAlignment="1" applyProtection="1">
      <alignment horizontal="center" vertical="center"/>
    </xf>
    <xf numFmtId="0" fontId="32" fillId="0" borderId="31" xfId="1" applyNumberFormat="1" applyFont="1" applyFill="1" applyBorder="1" applyAlignment="1" applyProtection="1">
      <alignment horizontal="center" vertical="center"/>
    </xf>
    <xf numFmtId="0" fontId="32" fillId="0" borderId="92" xfId="1" applyNumberFormat="1" applyFont="1" applyFill="1" applyBorder="1" applyAlignment="1" applyProtection="1">
      <alignment horizontal="center" vertical="center"/>
    </xf>
    <xf numFmtId="0" fontId="32" fillId="0" borderId="94" xfId="1" applyNumberFormat="1" applyFont="1" applyFill="1" applyBorder="1" applyAlignment="1" applyProtection="1">
      <alignment horizontal="center" vertical="center"/>
    </xf>
    <xf numFmtId="0" fontId="32" fillId="0" borderId="93" xfId="1" applyNumberFormat="1" applyFont="1" applyFill="1" applyBorder="1" applyAlignment="1" applyProtection="1">
      <alignment horizontal="center" vertical="center"/>
    </xf>
    <xf numFmtId="0" fontId="32" fillId="0" borderId="28" xfId="1" applyNumberFormat="1" applyFont="1" applyFill="1" applyBorder="1" applyAlignment="1" applyProtection="1">
      <alignment horizontal="center" vertical="center"/>
    </xf>
    <xf numFmtId="0" fontId="32" fillId="0" borderId="95" xfId="1" applyNumberFormat="1" applyFont="1" applyFill="1" applyBorder="1" applyAlignment="1" applyProtection="1">
      <alignment horizontal="center" vertical="center"/>
    </xf>
    <xf numFmtId="0" fontId="32" fillId="0" borderId="70" xfId="1" applyNumberFormat="1" applyFont="1" applyFill="1" applyBorder="1" applyAlignment="1" applyProtection="1">
      <alignment horizontal="center" vertical="center"/>
    </xf>
    <xf numFmtId="0" fontId="32" fillId="0" borderId="89" xfId="1" applyNumberFormat="1" applyFont="1" applyFill="1" applyBorder="1" applyAlignment="1" applyProtection="1">
      <alignment horizontal="center" vertical="center"/>
    </xf>
    <xf numFmtId="0" fontId="32" fillId="0" borderId="77" xfId="1" applyNumberFormat="1" applyFont="1" applyFill="1" applyBorder="1" applyAlignment="1" applyProtection="1">
      <alignment horizontal="center" vertical="center" wrapText="1"/>
    </xf>
    <xf numFmtId="0" fontId="32" fillId="0" borderId="94" xfId="1" applyNumberFormat="1" applyFont="1" applyFill="1" applyBorder="1" applyAlignment="1" applyProtection="1">
      <alignment horizontal="center" vertical="center" wrapText="1"/>
    </xf>
    <xf numFmtId="0" fontId="32" fillId="11" borderId="21" xfId="1" applyNumberFormat="1" applyFont="1" applyFill="1" applyBorder="1" applyAlignment="1" applyProtection="1">
      <alignment horizontal="center" vertical="center"/>
    </xf>
    <xf numFmtId="0" fontId="32" fillId="0" borderId="75" xfId="1" applyNumberFormat="1" applyFont="1" applyFill="1" applyBorder="1" applyAlignment="1" applyProtection="1">
      <alignment horizontal="center" vertical="center"/>
    </xf>
    <xf numFmtId="0" fontId="32" fillId="0" borderId="36" xfId="1" applyNumberFormat="1" applyFont="1" applyFill="1" applyBorder="1" applyAlignment="1" applyProtection="1">
      <alignment horizontal="center" vertical="center"/>
    </xf>
    <xf numFmtId="0" fontId="32" fillId="0" borderId="73" xfId="1" applyNumberFormat="1" applyFont="1" applyFill="1" applyBorder="1" applyAlignment="1" applyProtection="1">
      <alignment horizontal="center" vertical="center"/>
    </xf>
    <xf numFmtId="0" fontId="32" fillId="0" borderId="104" xfId="1" applyNumberFormat="1" applyFont="1" applyFill="1" applyBorder="1" applyAlignment="1" applyProtection="1">
      <alignment horizontal="center" vertical="center"/>
    </xf>
    <xf numFmtId="0" fontId="32" fillId="0" borderId="2" xfId="1" applyNumberFormat="1" applyFont="1" applyFill="1" applyBorder="1" applyAlignment="1" applyProtection="1">
      <alignment horizontal="center" vertical="center"/>
    </xf>
    <xf numFmtId="0" fontId="32" fillId="0" borderId="96" xfId="1" applyNumberFormat="1" applyFont="1" applyFill="1" applyBorder="1" applyAlignment="1" applyProtection="1">
      <alignment horizontal="center" vertical="center"/>
    </xf>
    <xf numFmtId="0" fontId="32" fillId="0" borderId="22" xfId="1" applyNumberFormat="1" applyFont="1" applyFill="1" applyBorder="1" applyAlignment="1" applyProtection="1">
      <alignment horizontal="center" vertical="center"/>
    </xf>
    <xf numFmtId="0" fontId="32" fillId="0" borderId="24" xfId="1" applyNumberFormat="1" applyFont="1" applyFill="1" applyBorder="1" applyAlignment="1" applyProtection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120" xfId="0" applyFont="1" applyBorder="1" applyAlignment="1">
      <alignment horizontal="center" vertical="center" wrapText="1"/>
    </xf>
    <xf numFmtId="41" fontId="29" fillId="0" borderId="77" xfId="1" applyFont="1" applyBorder="1" applyAlignment="1">
      <alignment horizontal="center" vertical="center" wrapText="1"/>
    </xf>
    <xf numFmtId="41" fontId="29" fillId="0" borderId="92" xfId="1" applyFont="1" applyBorder="1" applyAlignment="1">
      <alignment horizontal="center" vertical="center" wrapText="1"/>
    </xf>
    <xf numFmtId="0" fontId="24" fillId="0" borderId="106" xfId="0" applyFont="1" applyBorder="1" applyAlignment="1">
      <alignment horizontal="center" vertical="center"/>
    </xf>
    <xf numFmtId="0" fontId="24" fillId="0" borderId="107" xfId="0" applyFont="1" applyBorder="1" applyAlignment="1">
      <alignment horizontal="center" vertical="center"/>
    </xf>
    <xf numFmtId="0" fontId="26" fillId="0" borderId="114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115" xfId="0" applyFont="1" applyBorder="1" applyAlignment="1">
      <alignment horizontal="center" vertical="center"/>
    </xf>
    <xf numFmtId="0" fontId="26" fillId="0" borderId="86" xfId="0" applyFont="1" applyBorder="1" applyAlignment="1">
      <alignment horizontal="center" vertical="center"/>
    </xf>
    <xf numFmtId="0" fontId="26" fillId="0" borderId="109" xfId="0" applyFont="1" applyBorder="1" applyAlignment="1">
      <alignment horizontal="center" vertical="center" shrinkToFit="1"/>
    </xf>
    <xf numFmtId="0" fontId="26" fillId="0" borderId="86" xfId="0" applyFont="1" applyBorder="1" applyAlignment="1">
      <alignment horizontal="center" vertical="center" shrinkToFit="1"/>
    </xf>
    <xf numFmtId="0" fontId="26" fillId="0" borderId="112" xfId="0" applyFont="1" applyBorder="1" applyAlignment="1">
      <alignment horizontal="left" vertical="center" wrapText="1"/>
    </xf>
    <xf numFmtId="41" fontId="29" fillId="0" borderId="21" xfId="0" applyNumberFormat="1" applyFont="1" applyBorder="1" applyAlignment="1">
      <alignment horizontal="center" vertical="center" wrapText="1"/>
    </xf>
    <xf numFmtId="0" fontId="26" fillId="0" borderId="116" xfId="0" applyFont="1" applyBorder="1" applyAlignment="1">
      <alignment horizontal="left" vertical="center" wrapText="1"/>
    </xf>
    <xf numFmtId="41" fontId="29" fillId="0" borderId="81" xfId="0" applyNumberFormat="1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6" fillId="0" borderId="89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29" fillId="7" borderId="105" xfId="0" applyFont="1" applyFill="1" applyBorder="1" applyAlignment="1">
      <alignment horizontal="center" vertical="center" wrapText="1"/>
    </xf>
    <xf numFmtId="0" fontId="29" fillId="7" borderId="118" xfId="0" applyFont="1" applyFill="1" applyBorder="1" applyAlignment="1">
      <alignment horizontal="center" vertical="center" wrapText="1"/>
    </xf>
    <xf numFmtId="0" fontId="29" fillId="7" borderId="73" xfId="0" applyFont="1" applyFill="1" applyBorder="1" applyAlignment="1">
      <alignment horizontal="center" vertical="center" wrapText="1"/>
    </xf>
    <xf numFmtId="0" fontId="29" fillId="7" borderId="5" xfId="0" applyFont="1" applyFill="1" applyBorder="1" applyAlignment="1">
      <alignment horizontal="center" vertical="center" wrapText="1"/>
    </xf>
    <xf numFmtId="0" fontId="29" fillId="7" borderId="72" xfId="0" applyFont="1" applyFill="1" applyBorder="1" applyAlignment="1">
      <alignment horizontal="center" vertical="center" wrapText="1"/>
    </xf>
    <xf numFmtId="41" fontId="29" fillId="0" borderId="81" xfId="1" applyFont="1" applyBorder="1" applyAlignment="1">
      <alignment horizontal="center" vertical="center" wrapText="1"/>
    </xf>
    <xf numFmtId="41" fontId="29" fillId="0" borderId="21" xfId="1" applyFont="1" applyBorder="1" applyAlignment="1">
      <alignment horizontal="center" vertical="center" wrapText="1"/>
    </xf>
    <xf numFmtId="0" fontId="29" fillId="7" borderId="111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180" fontId="40" fillId="6" borderId="122" xfId="0" applyNumberFormat="1" applyFont="1" applyFill="1" applyBorder="1" applyAlignment="1">
      <alignment horizontal="center" vertical="center"/>
    </xf>
    <xf numFmtId="180" fontId="44" fillId="2" borderId="121" xfId="0" applyNumberFormat="1" applyFont="1" applyFill="1" applyBorder="1" applyAlignment="1">
      <alignment horizontal="center" vertical="center"/>
    </xf>
    <xf numFmtId="0" fontId="44" fillId="2" borderId="31" xfId="0" applyFont="1" applyFill="1" applyBorder="1" applyAlignment="1">
      <alignment horizontal="center" vertical="center" shrinkToFit="1"/>
    </xf>
    <xf numFmtId="178" fontId="44" fillId="2" borderId="62" xfId="1" applyNumberFormat="1" applyFont="1" applyFill="1" applyBorder="1" applyAlignment="1">
      <alignment horizontal="center" vertical="center"/>
    </xf>
    <xf numFmtId="178" fontId="44" fillId="2" borderId="31" xfId="1" applyNumberFormat="1" applyFont="1" applyFill="1" applyBorder="1" applyAlignment="1">
      <alignment horizontal="center" vertical="center"/>
    </xf>
    <xf numFmtId="178" fontId="44" fillId="4" borderId="66" xfId="1" applyNumberFormat="1" applyFont="1" applyFill="1" applyBorder="1" applyAlignment="1">
      <alignment horizontal="center" vertical="center"/>
    </xf>
    <xf numFmtId="178" fontId="45" fillId="3" borderId="68" xfId="1" applyNumberFormat="1" applyFont="1" applyFill="1" applyBorder="1" applyAlignment="1">
      <alignment horizontal="center" vertical="center" shrinkToFit="1"/>
    </xf>
    <xf numFmtId="178" fontId="46" fillId="4" borderId="0" xfId="1" applyNumberFormat="1" applyFont="1" applyFill="1" applyBorder="1" applyAlignment="1">
      <alignment horizontal="center" vertical="center"/>
    </xf>
    <xf numFmtId="178" fontId="46" fillId="3" borderId="0" xfId="1" applyNumberFormat="1" applyFont="1" applyFill="1" applyBorder="1" applyAlignment="1">
      <alignment horizontal="center" vertical="center"/>
    </xf>
    <xf numFmtId="0" fontId="46" fillId="4" borderId="0" xfId="0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180" fontId="40" fillId="6" borderId="123" xfId="0" applyNumberFormat="1" applyFont="1" applyFill="1" applyBorder="1" applyAlignment="1">
      <alignment horizontal="center" vertical="center"/>
    </xf>
    <xf numFmtId="0" fontId="40" fillId="6" borderId="124" xfId="0" applyFont="1" applyFill="1" applyBorder="1" applyAlignment="1">
      <alignment vertical="center" shrinkToFit="1"/>
    </xf>
    <xf numFmtId="178" fontId="40" fillId="6" borderId="125" xfId="1" applyNumberFormat="1" applyFont="1" applyFill="1" applyBorder="1" applyAlignment="1">
      <alignment vertical="center"/>
    </xf>
    <xf numFmtId="178" fontId="40" fillId="6" borderId="124" xfId="1" applyNumberFormat="1" applyFont="1" applyFill="1" applyBorder="1" applyAlignment="1">
      <alignment vertical="center"/>
    </xf>
    <xf numFmtId="178" fontId="40" fillId="6" borderId="126" xfId="1" applyNumberFormat="1" applyFont="1" applyFill="1" applyBorder="1" applyAlignment="1">
      <alignment vertical="center"/>
    </xf>
    <xf numFmtId="178" fontId="23" fillId="6" borderId="127" xfId="1" applyNumberFormat="1" applyFont="1" applyFill="1" applyBorder="1" applyAlignment="1">
      <alignment horizontal="left" vertical="center" shrinkToFit="1"/>
    </xf>
    <xf numFmtId="0" fontId="26" fillId="6" borderId="0" xfId="0" applyFont="1" applyFill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0" fillId="6" borderId="0" xfId="0" applyFont="1" applyFill="1" applyAlignment="1">
      <alignment horizontal="center" vertical="center"/>
    </xf>
  </cellXfs>
  <cellStyles count="44">
    <cellStyle name="20% - 강조색6 2" xfId="3" xr:uid="{00000000-0005-0000-0000-000000000000}"/>
    <cellStyle name="40% - 강조색1 2" xfId="4" xr:uid="{00000000-0005-0000-0000-000001000000}"/>
    <cellStyle name="40% - 강조색2 2" xfId="5" xr:uid="{00000000-0005-0000-0000-000002000000}"/>
    <cellStyle name="40% - 강조색3 2" xfId="6" xr:uid="{00000000-0005-0000-0000-000003000000}"/>
    <cellStyle name="40% - 강조색4 2" xfId="7" xr:uid="{00000000-0005-0000-0000-000004000000}"/>
    <cellStyle name="40% - 강조색5 2" xfId="8" xr:uid="{00000000-0005-0000-0000-000005000000}"/>
    <cellStyle name="40% - 강조색6 2" xfId="9" xr:uid="{00000000-0005-0000-0000-000006000000}"/>
    <cellStyle name="60% - 강조색1 2" xfId="10" xr:uid="{00000000-0005-0000-0000-000007000000}"/>
    <cellStyle name="60% - 강조색2 2" xfId="11" xr:uid="{00000000-0005-0000-0000-000008000000}"/>
    <cellStyle name="60% - 강조색3 2" xfId="12" xr:uid="{00000000-0005-0000-0000-000009000000}"/>
    <cellStyle name="60% - 강조색4 2" xfId="13" xr:uid="{00000000-0005-0000-0000-00000A000000}"/>
    <cellStyle name="60% - 강조색5 2" xfId="14" xr:uid="{00000000-0005-0000-0000-00000B000000}"/>
    <cellStyle name="60% - 강조색6 2" xfId="15" xr:uid="{00000000-0005-0000-0000-00000C000000}"/>
    <cellStyle name="강조색1 2" xfId="16" xr:uid="{00000000-0005-0000-0000-00000D000000}"/>
    <cellStyle name="강조색2 2" xfId="17" xr:uid="{00000000-0005-0000-0000-00000E000000}"/>
    <cellStyle name="강조색3 2" xfId="18" xr:uid="{00000000-0005-0000-0000-00000F000000}"/>
    <cellStyle name="강조색4 2" xfId="19" xr:uid="{00000000-0005-0000-0000-000010000000}"/>
    <cellStyle name="강조색5 2" xfId="20" xr:uid="{00000000-0005-0000-0000-000011000000}"/>
    <cellStyle name="강조색6 2" xfId="21" xr:uid="{00000000-0005-0000-0000-000012000000}"/>
    <cellStyle name="경고문 2" xfId="22" xr:uid="{00000000-0005-0000-0000-000013000000}"/>
    <cellStyle name="계산 2" xfId="23" xr:uid="{00000000-0005-0000-0000-000014000000}"/>
    <cellStyle name="나쁨 2" xfId="24" xr:uid="{00000000-0005-0000-0000-000015000000}"/>
    <cellStyle name="메모 2" xfId="25" xr:uid="{00000000-0005-0000-0000-000016000000}"/>
    <cellStyle name="보통 2" xfId="26" xr:uid="{00000000-0005-0000-0000-000017000000}"/>
    <cellStyle name="설명 텍스트 2" xfId="27" xr:uid="{00000000-0005-0000-0000-000018000000}"/>
    <cellStyle name="셀 확인 2" xfId="28" xr:uid="{00000000-0005-0000-0000-000019000000}"/>
    <cellStyle name="쉼표 [0]" xfId="1" builtinId="6"/>
    <cellStyle name="쉼표 [0] 2" xfId="29" xr:uid="{00000000-0005-0000-0000-00001B000000}"/>
    <cellStyle name="쉼표 [0] 3" xfId="30" xr:uid="{00000000-0005-0000-0000-00001C000000}"/>
    <cellStyle name="연결된 셀 2" xfId="31" xr:uid="{00000000-0005-0000-0000-00001D000000}"/>
    <cellStyle name="요약 2" xfId="32" xr:uid="{00000000-0005-0000-0000-00001E000000}"/>
    <cellStyle name="입력 2" xfId="33" xr:uid="{00000000-0005-0000-0000-00001F000000}"/>
    <cellStyle name="제목 1 2" xfId="34" xr:uid="{00000000-0005-0000-0000-000020000000}"/>
    <cellStyle name="제목 2 2" xfId="35" xr:uid="{00000000-0005-0000-0000-000021000000}"/>
    <cellStyle name="제목 3 2" xfId="36" xr:uid="{00000000-0005-0000-0000-000022000000}"/>
    <cellStyle name="제목 4 2" xfId="37" xr:uid="{00000000-0005-0000-0000-000023000000}"/>
    <cellStyle name="제목 5" xfId="38" xr:uid="{00000000-0005-0000-0000-000024000000}"/>
    <cellStyle name="좋음 2" xfId="39" xr:uid="{00000000-0005-0000-0000-000025000000}"/>
    <cellStyle name="출력 2" xfId="40" xr:uid="{00000000-0005-0000-0000-000026000000}"/>
    <cellStyle name="통화 [0]" xfId="43" builtinId="7"/>
    <cellStyle name="표준" xfId="0" builtinId="0"/>
    <cellStyle name="표준 2" xfId="2" xr:uid="{00000000-0005-0000-0000-000029000000}"/>
    <cellStyle name="표준 3" xfId="41" xr:uid="{00000000-0005-0000-0000-00002A000000}"/>
    <cellStyle name="표준 4" xfId="42" xr:uid="{00000000-0005-0000-0000-00002B000000}"/>
  </cellStyles>
  <dxfs count="18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strike val="0"/>
        <outline val="0"/>
        <shadow val="0"/>
        <u val="none"/>
        <vertAlign val="baseline"/>
        <color theme="1" tint="0.14999847407452621"/>
        <name val="맑은 고딕"/>
        <family val="3"/>
        <charset val="129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rgb="FFFF0000"/>
        </left>
        <right style="thin">
          <color auto="1"/>
        </right>
        <top style="thin">
          <color theme="3" tint="0.39994506668294322"/>
        </top>
        <bottom style="thin">
          <color theme="3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 style="thin">
          <color rgb="FFFF0000"/>
        </right>
        <top style="thin">
          <color theme="3" tint="0.39994506668294322"/>
        </top>
        <bottom style="thin">
          <color theme="3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80" formatCode="m&quot;/&quot;d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double">
          <color rgb="FFFF0000"/>
        </right>
        <top style="thin">
          <color theme="3" tint="0.39994506668294322"/>
        </top>
        <bottom style="thin">
          <color theme="3" tint="0.39994506668294322"/>
        </bottom>
        <vertical/>
        <horizontal/>
      </border>
    </dxf>
    <dxf>
      <border outline="0">
        <left style="thin">
          <color indexed="64"/>
        </left>
      </border>
    </dxf>
  </dxfs>
  <tableStyles count="0" defaultTableStyle="TableStyleMedium9" defaultPivotStyle="PivotStyleLight16"/>
  <colors>
    <mruColors>
      <color rgb="FFFFFF99"/>
      <color rgb="FF0000FF"/>
      <color rgb="FFDDDDDD"/>
      <color rgb="FFFFFFCC"/>
      <color rgb="FFFFFF66"/>
      <color rgb="FF99FFCC"/>
      <color rgb="FFFF3399"/>
      <color rgb="FFD1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A23C97-6351-425C-80C1-5190B1510A10}" name="표1" displayName="표1" ref="A1:O4" totalsRowShown="0" headerRowDxfId="4" tableBorderDxfId="17">
  <autoFilter ref="A1:O4" xr:uid="{EBAD00B8-21F0-471A-9E14-959583F08108}"/>
  <tableColumns count="15">
    <tableColumn id="1" xr3:uid="{325BC808-EBB1-4182-8053-4093ABF61848}" name="일  자" dataDxfId="16"/>
    <tableColumn id="2" xr3:uid="{775C7EE1-56F8-413F-B97B-5BDE495A574C}" name="적   요"/>
    <tableColumn id="3" xr3:uid="{B4676D50-6D9D-4CE5-A86D-6A2C41124612}" name="수입금액"/>
    <tableColumn id="4" xr3:uid="{DA964545-C6FC-4E0F-9BDC-D2D886B256F4}" name="지출금액"/>
    <tableColumn id="5" xr3:uid="{642A0A1C-4F4F-4175-A383-26FA8E59028B}" name="잔  액" dataDxfId="15" dataCellStyle="쉼표 [0]">
      <calculatedColumnFormula>E1+C2-D2</calculatedColumnFormula>
    </tableColumn>
    <tableColumn id="6" xr3:uid="{92DF8EFE-D935-46B6-8736-297C2877BFF6}" name="비   고" dataDxfId="14" dataCellStyle="쉼표 [0]"/>
    <tableColumn id="7" xr3:uid="{B2F3762F-3CBA-4C3C-B62E-50AB1A705F19}" name="수입/지출" dataDxfId="13" dataCellStyle="쉼표 [0]">
      <calculatedColumnFormula>IF(ISBLANK(C2),"지출항목","수입항목")</calculatedColumnFormula>
    </tableColumn>
    <tableColumn id="8" xr3:uid="{6D94FB70-6FB2-48CA-A9D7-A9D319F818C2}" name="관" dataDxfId="12" dataCellStyle="쉼표 [0]"/>
    <tableColumn id="9" xr3:uid="{9D12888D-4401-4A7B-8367-1EE1C177E38D}" name="항목" dataDxfId="11" dataCellStyle="쉼표 [0]"/>
    <tableColumn id="10" xr3:uid="{E53316A2-1F3D-464B-904E-6CA10519F04E}" name="회계코드" dataDxfId="10" dataCellStyle="쉼표 [0]">
      <calculatedColumnFormula>MID(RIGHT(I2,5),2,3)</calculatedColumnFormula>
    </tableColumn>
    <tableColumn id="11" xr3:uid="{C77147AA-AC9C-4EA9-A9CB-FEA5A14DB92B}" name="수입누적구분" dataDxfId="9" dataCellStyle="쉼표 [0]">
      <calculatedColumnFormula>IF(G2="수입항목",IF(H2="헌금","자체헌금",IF(H2="교회보조금","교회보조금","기타")),"")</calculatedColumnFormula>
    </tableColumn>
    <tableColumn id="12" xr3:uid="{98C66FAD-CC0D-4C36-9F9F-4CF116BD2CC2}" name="월" dataDxfId="8" dataCellStyle="쉼표 [0]">
      <calculatedColumnFormula>MONTH(A2)</calculatedColumnFormula>
    </tableColumn>
    <tableColumn id="13" xr3:uid="{217F8619-F62F-4819-BD71-9E75D9E56BD1}" name="수입 No" dataDxfId="7">
      <calculatedColumnFormula>IF(C2&gt;0,COUNTIFS($A$1:A2,A2,$C$1:C2,"&gt;0"),"")</calculatedColumnFormula>
    </tableColumn>
    <tableColumn id="14" xr3:uid="{5978AD8E-B736-4CA9-AF4B-B8F0CBE74E22}" name="지출 No" dataDxfId="6">
      <calculatedColumnFormula>IF(G2="지출항목",COUNTIFS($A$1:A2,A2,$G$1:G2,"=지출항목"),"")</calculatedColumnFormula>
    </tableColumn>
    <tableColumn id="15" xr3:uid="{90B6DFF0-0F30-41B6-BEAC-135EE9F27E9D}" name="비      고" dataDxf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O4"/>
  <sheetViews>
    <sheetView tabSelected="1" zoomScale="85" zoomScaleNormal="85" workbookViewId="0">
      <pane ySplit="1" topLeftCell="A2" activePane="bottomLeft" state="frozen"/>
      <selection pane="bottomLeft" activeCell="H6" sqref="H6"/>
    </sheetView>
  </sheetViews>
  <sheetFormatPr defaultRowHeight="24" customHeight="1" x14ac:dyDescent="0.3"/>
  <cols>
    <col min="1" max="1" width="9.25" style="91" customWidth="1"/>
    <col min="2" max="2" width="36.25" style="92" customWidth="1"/>
    <col min="3" max="3" width="17.375" style="93" customWidth="1"/>
    <col min="4" max="4" width="17.375" style="94" customWidth="1"/>
    <col min="5" max="5" width="19.125" style="95" customWidth="1"/>
    <col min="6" max="6" width="30" style="96" customWidth="1"/>
    <col min="7" max="7" width="13.375" style="97" bestFit="1" customWidth="1"/>
    <col min="8" max="8" width="21.25" style="98" bestFit="1" customWidth="1"/>
    <col min="9" max="9" width="27.875" style="98" customWidth="1"/>
    <col min="10" max="10" width="12.5" style="97" bestFit="1" customWidth="1"/>
    <col min="11" max="11" width="12.5" style="98" customWidth="1"/>
    <col min="12" max="12" width="8.375" style="98" bestFit="1" customWidth="1"/>
    <col min="13" max="13" width="9.125" style="99" customWidth="1"/>
    <col min="14" max="14" width="9" style="99" customWidth="1"/>
    <col min="15" max="15" width="39.25" style="20" bestFit="1" customWidth="1"/>
    <col min="16" max="16384" width="9" style="20"/>
  </cols>
  <sheetData>
    <row r="1" spans="1:15" s="287" customFormat="1" ht="24" customHeight="1" x14ac:dyDescent="0.3">
      <c r="A1" s="278" t="s">
        <v>1</v>
      </c>
      <c r="B1" s="279" t="s">
        <v>2</v>
      </c>
      <c r="C1" s="280" t="s">
        <v>3</v>
      </c>
      <c r="D1" s="281" t="s">
        <v>4</v>
      </c>
      <c r="E1" s="282" t="s">
        <v>48</v>
      </c>
      <c r="F1" s="283" t="s">
        <v>7</v>
      </c>
      <c r="G1" s="284" t="s">
        <v>14</v>
      </c>
      <c r="H1" s="285" t="s">
        <v>10</v>
      </c>
      <c r="I1" s="285" t="s">
        <v>9</v>
      </c>
      <c r="J1" s="284" t="s">
        <v>13</v>
      </c>
      <c r="K1" s="284" t="s">
        <v>15</v>
      </c>
      <c r="L1" s="284" t="s">
        <v>16</v>
      </c>
      <c r="M1" s="286" t="s">
        <v>5</v>
      </c>
      <c r="N1" s="286" t="s">
        <v>6</v>
      </c>
      <c r="O1" s="287" t="s">
        <v>55</v>
      </c>
    </row>
    <row r="2" spans="1:15" ht="24" customHeight="1" x14ac:dyDescent="0.3">
      <c r="A2" s="277">
        <v>43831</v>
      </c>
      <c r="B2" s="92" t="s">
        <v>19</v>
      </c>
      <c r="C2" s="93">
        <v>311658</v>
      </c>
      <c r="E2" s="95">
        <f>C2-D2</f>
        <v>311658</v>
      </c>
      <c r="G2" s="97" t="str">
        <f>IF(ISBLANK(C2),"지출항목","수입항목")</f>
        <v>수입항목</v>
      </c>
      <c r="H2" s="98" t="s">
        <v>11</v>
      </c>
      <c r="I2" s="98" t="s">
        <v>54</v>
      </c>
      <c r="J2" s="97" t="str">
        <f>MID(RIGHT(I2,5),2,3)</f>
        <v>IA1</v>
      </c>
      <c r="K2" s="98" t="str">
        <f>IF(G2="수입항목",IF(H2="헌금","자체헌금",IF(H2="교회보조금","교회보조금","기타")),"")</f>
        <v>기타</v>
      </c>
      <c r="L2" s="97">
        <f t="shared" ref="L2:L3" si="0">MONTH(A2)</f>
        <v>1</v>
      </c>
      <c r="M2" s="99">
        <f>IF(C2&gt;0,COUNTIFS($A$1:A2,A2,$C$1:C2,"&gt;0"),"")</f>
        <v>1</v>
      </c>
      <c r="N2" s="99" t="str">
        <f>IF(G2="지출항목",COUNTIFS($A$1:A2,A2,$G$1:G2,"=지출항목"),"")</f>
        <v/>
      </c>
    </row>
    <row r="3" spans="1:15" ht="24" customHeight="1" x14ac:dyDescent="0.3">
      <c r="A3" s="277">
        <v>43836</v>
      </c>
      <c r="B3" s="100" t="s">
        <v>236</v>
      </c>
      <c r="C3" s="101"/>
      <c r="D3" s="102">
        <v>32110</v>
      </c>
      <c r="E3" s="95">
        <f t="shared" ref="E3" si="1">E2+C3-D3</f>
        <v>279548</v>
      </c>
      <c r="G3" s="97" t="str">
        <f t="shared" ref="G3" si="2">IF(ISBLANK(C3),"지출항목","수입항목")</f>
        <v>지출항목</v>
      </c>
      <c r="H3" s="98" t="s">
        <v>168</v>
      </c>
      <c r="I3" s="98" t="s">
        <v>208</v>
      </c>
      <c r="J3" s="97" t="str">
        <f t="shared" ref="J3" si="3">MID(RIGHT(I3,5),2,3)</f>
        <v>EA2</v>
      </c>
      <c r="K3" s="98" t="str">
        <f t="shared" ref="K3" si="4">IF(G3="수입항목",IF(H3="헌금","자체헌금",IF(H3="교회보조금","교회보조금","기타")),"")</f>
        <v/>
      </c>
      <c r="L3" s="97">
        <f t="shared" si="0"/>
        <v>1</v>
      </c>
      <c r="M3" s="296" t="str">
        <f>IF(C3&gt;0,COUNTIFS($A$1:A4,A3,$C$1:C4,"&gt;0"),"")</f>
        <v/>
      </c>
      <c r="N3" s="296">
        <f>IF(G3="지출항목",COUNTIFS($A$1:A4,A3,$G$1:G4,"=지출항목"),"")</f>
        <v>1</v>
      </c>
    </row>
    <row r="4" spans="1:15" ht="24" customHeight="1" x14ac:dyDescent="0.3">
      <c r="A4" s="288">
        <v>43840</v>
      </c>
      <c r="B4" s="289" t="s">
        <v>250</v>
      </c>
      <c r="C4" s="290">
        <v>45</v>
      </c>
      <c r="D4" s="291"/>
      <c r="E4" s="292">
        <f>E3+C4-D4</f>
        <v>279593</v>
      </c>
      <c r="F4" s="293"/>
      <c r="G4" s="97" t="str">
        <f>IF(ISBLANK(C4),"지출항목","수입항목")</f>
        <v>수입항목</v>
      </c>
      <c r="H4" s="98" t="s">
        <v>251</v>
      </c>
      <c r="I4" s="98" t="s">
        <v>204</v>
      </c>
      <c r="J4" s="97" t="str">
        <f>MID(RIGHT(I4,5),2,3)</f>
        <v>ID1</v>
      </c>
      <c r="K4" s="98" t="str">
        <f>IF(G4="수입항목",IF(H4="헌금","자체헌금",IF(H4="교회보조금","교회보조금","기타")),"")</f>
        <v>기타</v>
      </c>
      <c r="L4" s="97">
        <f>MONTH(A4)</f>
        <v>1</v>
      </c>
      <c r="M4" s="294">
        <f>IF(C4&gt;0,COUNTIFS($A$1:A4,A4,$C$1:C4,"&gt;0"),"")</f>
        <v>1</v>
      </c>
      <c r="N4" s="294" t="str">
        <f>IF(G4="지출항목",COUNTIFS($A$1:A4,A4,$G$1:G4,"=지출항목"),"")</f>
        <v/>
      </c>
      <c r="O4" s="295"/>
    </row>
  </sheetData>
  <phoneticPr fontId="2" type="noConversion"/>
  <conditionalFormatting sqref="G3 J3:K3 A4:N1048576">
    <cfRule type="expression" dxfId="3" priority="46506">
      <formula>MOD(ROW($A3),2)=0</formula>
    </cfRule>
  </conditionalFormatting>
  <conditionalFormatting sqref="A2:N2">
    <cfRule type="expression" dxfId="2" priority="6897">
      <formula>MOD(ROW($A2),2)=0</formula>
    </cfRule>
  </conditionalFormatting>
  <conditionalFormatting sqref="M3 A3">
    <cfRule type="expression" dxfId="1" priority="6896">
      <formula>MOD(ROW($A3),2)=0</formula>
    </cfRule>
  </conditionalFormatting>
  <conditionalFormatting sqref="B3:F3 N3 L3 H3:I3">
    <cfRule type="expression" dxfId="0" priority="6895">
      <formula>MOD(ROW($A3),2)=0</formula>
    </cfRule>
  </conditionalFormatting>
  <dataValidations count="2">
    <dataValidation type="list" allowBlank="1" showInputMessage="1" showErrorMessage="1" sqref="G2:G4" xr:uid="{00000000-0002-0000-0000-000000000000}">
      <formula1>"수입항목,지출항목"</formula1>
    </dataValidation>
    <dataValidation type="list" allowBlank="1" showInputMessage="1" showErrorMessage="1" sqref="H2:I1048576" xr:uid="{00000000-0002-0000-0000-000001000000}">
      <formula1>INDIRECT(G2)</formula1>
    </dataValidation>
  </dataValidations>
  <pageMargins left="0.31496062992125984" right="0.19685039370078741" top="0.74803149606299213" bottom="0.74803149606299213" header="0.31496062992125984" footer="0.31496062992125984"/>
  <pageSetup paperSize="9" scale="1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O28"/>
  <sheetViews>
    <sheetView topLeftCell="A7" zoomScaleNormal="100" workbookViewId="0">
      <selection activeCell="B3" sqref="B3"/>
    </sheetView>
  </sheetViews>
  <sheetFormatPr defaultRowHeight="24.95" customHeight="1" x14ac:dyDescent="0.3"/>
  <cols>
    <col min="1" max="1" width="7.75" style="1" customWidth="1"/>
    <col min="2" max="2" width="9.125" style="1" customWidth="1"/>
    <col min="3" max="3" width="18" style="2" customWidth="1"/>
    <col min="4" max="4" width="9.125" style="2" customWidth="1"/>
    <col min="5" max="5" width="4.75" style="2" customWidth="1"/>
    <col min="6" max="6" width="15.125" style="1" customWidth="1"/>
    <col min="7" max="7" width="8.75" style="1" customWidth="1"/>
    <col min="8" max="8" width="19.75" style="1" customWidth="1"/>
    <col min="9" max="11" width="9" style="1"/>
    <col min="12" max="12" width="10.875" style="1" bestFit="1" customWidth="1"/>
    <col min="13" max="14" width="9" style="1"/>
    <col min="15" max="15" width="10.875" style="1" bestFit="1" customWidth="1"/>
    <col min="16" max="16384" width="9" style="1"/>
  </cols>
  <sheetData>
    <row r="1" spans="1:15" ht="78" customHeight="1" thickBot="1" x14ac:dyDescent="0.35">
      <c r="A1" s="131" t="s">
        <v>0</v>
      </c>
      <c r="B1" s="132"/>
      <c r="C1" s="132"/>
      <c r="D1" s="132"/>
      <c r="E1" s="132"/>
      <c r="F1" s="132"/>
      <c r="G1" s="132"/>
      <c r="H1" s="132"/>
    </row>
    <row r="2" spans="1:15" ht="24.95" customHeight="1" x14ac:dyDescent="0.3">
      <c r="A2" s="5" t="s">
        <v>24</v>
      </c>
      <c r="B2" s="171">
        <v>43836</v>
      </c>
      <c r="C2" s="171"/>
      <c r="D2" s="171"/>
      <c r="E2" s="171"/>
      <c r="F2" s="172" t="s">
        <v>25</v>
      </c>
      <c r="G2" s="172"/>
      <c r="H2" s="6"/>
    </row>
    <row r="3" spans="1:15" ht="24.95" customHeight="1" x14ac:dyDescent="0.3">
      <c r="A3" s="7" t="s">
        <v>26</v>
      </c>
      <c r="B3" s="8"/>
      <c r="C3" s="9"/>
      <c r="D3" s="9" t="s">
        <v>27</v>
      </c>
      <c r="E3" s="139"/>
      <c r="F3" s="139"/>
      <c r="G3" s="8" t="s">
        <v>28</v>
      </c>
      <c r="H3" s="10"/>
    </row>
    <row r="4" spans="1:15" ht="24.95" customHeight="1" x14ac:dyDescent="0.3">
      <c r="A4" s="7" t="s">
        <v>29</v>
      </c>
      <c r="B4" s="11" t="s">
        <v>30</v>
      </c>
      <c r="C4" s="173" t="str">
        <f>NUMBERSTRING(H13,1) &amp; " 원정"</f>
        <v>삼만이천일백일십 원정</v>
      </c>
      <c r="D4" s="173"/>
      <c r="E4" s="173"/>
      <c r="F4" s="173"/>
      <c r="G4" s="174">
        <f>H13</f>
        <v>32110</v>
      </c>
      <c r="H4" s="175"/>
    </row>
    <row r="5" spans="1:15" ht="24.95" customHeight="1" x14ac:dyDescent="0.3">
      <c r="A5" s="168" t="s">
        <v>31</v>
      </c>
      <c r="B5" s="170" t="str">
        <f>IF(COUNTIFS(회계장부!$A$2:$A$97277,기준일자,회계장부!$N$2:$N$97277,1)&gt;0,INDEX(회계장부!B:B,SUMPRODUCT((회계장부!$A$2:$A$97277=기준일자)*(회계장부!$N$2:$N$97277=1)*(ROW(회계장부!$B$2:$B$97277)))),"")</f>
        <v>다과류-올푸드</v>
      </c>
      <c r="C5" s="137"/>
      <c r="D5" s="154">
        <f>IF(COUNTIFS(회계장부!$A$2:$A$97277,기준일자,회계장부!$N$2:$N$97277,1)&gt;0,INDEX(회계장부!D:D,SUMPRODUCT((회계장부!$A$2:$A$97277=기준일자)*(회계장부!$N$2:$N$97277=1)*(ROW(회계장부!$B$2:$B$97277)))),"")</f>
        <v>32110</v>
      </c>
      <c r="E5" s="155"/>
      <c r="F5" s="137" t="str">
        <f>IF(COUNTIFS(회계장부!$A$2:$A$97277,기준일자,회계장부!$N$2:$N$97277,10)&gt;0,INDEX(회계장부!B:B,SUMPRODUCT((회계장부!$A$2:$A$97277=기준일자)*(회계장부!$N$2:$N$97277=10)*(ROW(회계장부!$B$2:$B$97277)))),"")</f>
        <v/>
      </c>
      <c r="G5" s="137"/>
      <c r="H5" s="12" t="str">
        <f>IF(COUNTIFS(회계장부!$A$2:$A$97277,기준일자,회계장부!$N$2:$N$97277,10)&gt;0,INDEX(회계장부!D:D,SUMPRODUCT((회계장부!$A$2:$A$97277=기준일자)*(회계장부!$N$2:$N$97277=10)*(ROW(회계장부!$B$2:$B$97277)))),"")</f>
        <v/>
      </c>
    </row>
    <row r="6" spans="1:15" ht="24.95" customHeight="1" x14ac:dyDescent="0.3">
      <c r="A6" s="167"/>
      <c r="B6" s="134" t="str">
        <f>IF(COUNTIFS(회계장부!$A$2:$A$97277,기준일자,회계장부!$N$2:$N$97277,2)&gt;0,INDEX(회계장부!B:B,SUMPRODUCT((회계장부!$A$2:$A$97277=기준일자)*(회계장부!$N$2:$N$97277=2)*(ROW(회계장부!$B$2:$B$97277)))),"")</f>
        <v/>
      </c>
      <c r="C6" s="129"/>
      <c r="D6" s="138" t="str">
        <f>IF(COUNTIFS(회계장부!$A$2:$A$97277,기준일자,회계장부!$N$2:$N$97277,2)&gt;0,INDEX(회계장부!D:D,SUMPRODUCT((회계장부!$A$2:$A$97277=기준일자)*(회계장부!$N$2:$N$97277=2)*(ROW(회계장부!$B$2:$B$97277)))),"")</f>
        <v/>
      </c>
      <c r="E6" s="138"/>
      <c r="F6" s="129" t="str">
        <f>IF(COUNTIFS(회계장부!$A$2:$A$97277,기준일자,회계장부!$N$2:$N$97277,11)&gt;0,INDEX(회계장부!B:B,SUMPRODUCT((회계장부!$A$2:$A$97277=기준일자)*(회계장부!$N$2:$N$97277=11)*(ROW(회계장부!$B$2:$B$97277)))),"")</f>
        <v/>
      </c>
      <c r="G6" s="129"/>
      <c r="H6" s="13" t="str">
        <f>IF(COUNTIFS(회계장부!$A$2:$A$97277,기준일자,회계장부!$N$2:$N$97277,11)&gt;0,INDEX(회계장부!D:D,SUMPRODUCT((회계장부!$A$2:$A$97277=기준일자)*(회계장부!$N$2:$N$97277=11)*(ROW(회계장부!$B$2:$B$97277)))),"")</f>
        <v/>
      </c>
    </row>
    <row r="7" spans="1:15" ht="24.95" customHeight="1" x14ac:dyDescent="0.3">
      <c r="A7" s="167"/>
      <c r="B7" s="134" t="str">
        <f>IF(COUNTIFS(회계장부!$A$2:$A$97277,기준일자,회계장부!$N$2:$N$97277,3)&gt;0,INDEX(회계장부!B:B,SUMPRODUCT((회계장부!$A$2:$A$97277=기준일자)*(회계장부!$N$2:$N$97277=3)*(ROW(회계장부!$B$2:$B$97277)))),"")</f>
        <v/>
      </c>
      <c r="C7" s="129"/>
      <c r="D7" s="138" t="str">
        <f>IF(COUNTIFS(회계장부!$A$2:$A$97277,기준일자,회계장부!$N$2:$N$97277,3)&gt;0,INDEX(회계장부!D:D,SUMPRODUCT((회계장부!$A$2:$A$97277=기준일자)*(회계장부!$N$2:$N$97277=3)*(ROW(회계장부!$B$2:$B$97277)))),"")</f>
        <v/>
      </c>
      <c r="E7" s="138"/>
      <c r="F7" s="129" t="str">
        <f>IF(COUNTIFS(회계장부!$A$2:$A$97277,기준일자,회계장부!$N$2:$N$97277,12)&gt;0,INDEX(회계장부!B:B,SUMPRODUCT((회계장부!$A$2:$A$97277=기준일자)*(회계장부!$N$2:$N$97277=12)*(ROW(회계장부!$B$2:$B$97277)))),"")</f>
        <v/>
      </c>
      <c r="G7" s="129"/>
      <c r="H7" s="13" t="str">
        <f>IF(COUNTIFS(회계장부!$A$2:$A$97277,기준일자,회계장부!$N$2:$N$97277,12)&gt;0,INDEX(회계장부!D:D,SUMPRODUCT((회계장부!$A$2:$A$97277=기준일자)*(회계장부!$N$2:$N$97277=12)*(ROW(회계장부!$B$2:$B$97277)))),"")</f>
        <v/>
      </c>
    </row>
    <row r="8" spans="1:15" ht="24.95" customHeight="1" x14ac:dyDescent="0.3">
      <c r="A8" s="167"/>
      <c r="B8" s="134" t="str">
        <f>IF(COUNTIFS(회계장부!$A$2:$A$97277,기준일자,회계장부!$N$2:$N$97277,4)&gt;0,INDEX(회계장부!B:B,SUMPRODUCT((회계장부!$A$2:$A$97277=기준일자)*(회계장부!$N$2:$N$97277=4)*(ROW(회계장부!$B$2:$B$97277)))),"")</f>
        <v/>
      </c>
      <c r="C8" s="129"/>
      <c r="D8" s="138" t="str">
        <f>IF(COUNTIFS(회계장부!$A$2:$A$97277,기준일자,회계장부!$N$2:$N$97277,4)&gt;0,INDEX(회계장부!D:D,SUMPRODUCT((회계장부!$A$2:$A$97277=기준일자)*(회계장부!$N$2:$N$97277=4)*(ROW(회계장부!$B$2:$B$97277)))),"")</f>
        <v/>
      </c>
      <c r="E8" s="138"/>
      <c r="F8" s="129" t="str">
        <f>IF(COUNTIFS(회계장부!$A$2:$A$97277,기준일자,회계장부!$N$2:$N$97277,13)&gt;0,INDEX(회계장부!B:B,SUMPRODUCT((회계장부!$A$2:$A$97277=기준일자)*(회계장부!$N$2:$N$97277=13)*(ROW(회계장부!$B$2:$B$97277)))),"")</f>
        <v/>
      </c>
      <c r="G8" s="129"/>
      <c r="H8" s="13" t="str">
        <f>IF(COUNTIFS(회계장부!$A$2:$A$97277,기준일자,회계장부!$N$2:$N$97277,13)&gt;0,INDEX(회계장부!D:D,SUMPRODUCT((회계장부!$A$2:$A$97277=기준일자)*(회계장부!$N$2:$N$97277=13)*(ROW(회계장부!$B$2:$B$97277)))),"")</f>
        <v/>
      </c>
    </row>
    <row r="9" spans="1:15" ht="24.95" customHeight="1" x14ac:dyDescent="0.3">
      <c r="A9" s="167"/>
      <c r="B9" s="134" t="str">
        <f>IF(COUNTIFS(회계장부!$A$2:$A$97277,기준일자,회계장부!$N$2:$N$97277,5)&gt;0,INDEX(회계장부!B:B,SUMPRODUCT((회계장부!$A$2:$A$97277=기준일자)*(회계장부!$N$2:$N$97277=5)*(ROW(회계장부!$B$2:$B$97277)))),"")</f>
        <v/>
      </c>
      <c r="C9" s="129"/>
      <c r="D9" s="138" t="str">
        <f>IF(COUNTIFS(회계장부!$A$2:$A$97277,기준일자,회계장부!$N$2:$N$97277,5)&gt;0,INDEX(회계장부!D:D,SUMPRODUCT((회계장부!$A$2:$A$97277=기준일자)*(회계장부!$N$2:$N$97277=5)*(ROW(회계장부!$B$2:$B$97277)))),"")</f>
        <v/>
      </c>
      <c r="E9" s="138"/>
      <c r="F9" s="129" t="str">
        <f>IF(COUNTIFS(회계장부!$A$2:$A$97277,기준일자,회계장부!$N$2:$N$97277,14)&gt;0,INDEX(회계장부!B:B,SUMPRODUCT((회계장부!$A$2:$A$97277=기준일자)*(회계장부!$N$2:$N$97277=14)*(ROW(회계장부!$B$2:$B$97277)))),"")</f>
        <v/>
      </c>
      <c r="G9" s="129"/>
      <c r="H9" s="13" t="str">
        <f>IF(COUNTIFS(회계장부!$A$2:$A$97277,기준일자,회계장부!$N$2:$N$97277,14)&gt;0,INDEX(회계장부!D:D,SUMPRODUCT((회계장부!$A$2:$A$97277=기준일자)*(회계장부!$N$2:$N$97277=14)*(ROW(회계장부!$B$2:$B$97277)))),"")</f>
        <v/>
      </c>
    </row>
    <row r="10" spans="1:15" ht="24.95" customHeight="1" x14ac:dyDescent="0.3">
      <c r="A10" s="167"/>
      <c r="B10" s="134" t="str">
        <f>IF(COUNTIFS(회계장부!$A$2:$A$97277,기준일자,회계장부!$N$2:$N$97277,6)&gt;0,INDEX(회계장부!B:B,SUMPRODUCT((회계장부!$A$2:$A$97277=기준일자)*(회계장부!$N$2:$N$97277=6)*(ROW(회계장부!$B$2:$B$97277)))),"")</f>
        <v/>
      </c>
      <c r="C10" s="129"/>
      <c r="D10" s="138" t="str">
        <f>IF(COUNTIFS(회계장부!$A$2:$A$97277,기준일자,회계장부!$N$2:$N$97277,6)&gt;0,INDEX(회계장부!D:D,SUMPRODUCT((회계장부!$A$2:$A$97277=기준일자)*(회계장부!$N$2:$N$97277=6)*(ROW(회계장부!$B$2:$B$97277)))),"")</f>
        <v/>
      </c>
      <c r="E10" s="138"/>
      <c r="F10" s="129" t="str">
        <f>IF(COUNTIFS(회계장부!$A$2:$A$97277,기준일자,회계장부!$N$2:$N$97277,15)&gt;0,INDEX(회계장부!B:B,SUMPRODUCT((회계장부!$A$2:$A$97277=기준일자)*(회계장부!$N$2:$N$97277=15)*(ROW(회계장부!$B$2:$B$97277)))),"")</f>
        <v/>
      </c>
      <c r="G10" s="129"/>
      <c r="H10" s="13" t="str">
        <f>IF(COUNTIFS(회계장부!$A$2:$A$97277,기준일자,회계장부!$N$2:$N$97277,15)&gt;0,INDEX(회계장부!D:D,SUMPRODUCT((회계장부!$A$2:$A$97277=기준일자)*(회계장부!$N$2:$N$97277=15)*(ROW(회계장부!$B$2:$B$97277)))),"")</f>
        <v/>
      </c>
    </row>
    <row r="11" spans="1:15" ht="24.95" customHeight="1" x14ac:dyDescent="0.3">
      <c r="A11" s="167"/>
      <c r="B11" s="134" t="str">
        <f>IF(COUNTIFS(회계장부!$A$2:$A$97277,기준일자,회계장부!$N$2:$N$97277,7)&gt;0,INDEX(회계장부!B:B,SUMPRODUCT((회계장부!$A$2:$A$97277=기준일자)*(회계장부!$N$2:$N$97277=7)*(ROW(회계장부!$B$2:$B$97277)))),"")</f>
        <v/>
      </c>
      <c r="C11" s="129"/>
      <c r="D11" s="138" t="str">
        <f>IF(COUNTIFS(회계장부!$A$2:$A$97277,기준일자,회계장부!$N$2:$N$97277,7)&gt;0,INDEX(회계장부!D:D,SUMPRODUCT((회계장부!$A$2:$A$97277=기준일자)*(회계장부!$N$2:$N$97277=7)*(ROW(회계장부!$B$2:$B$97277)))),"")</f>
        <v/>
      </c>
      <c r="E11" s="138"/>
      <c r="F11" s="129" t="str">
        <f>IF(COUNTIFS(회계장부!$A$2:$A$97277,기준일자,회계장부!$N$2:$N$97277,16)&gt;0,INDEX(회계장부!B:B,SUMPRODUCT((회계장부!$A$2:$A$97277=기준일자)*(회계장부!$N$2:$N$97277=16)*(ROW(회계장부!$B$2:$B$97277)))),"")</f>
        <v/>
      </c>
      <c r="G11" s="129"/>
      <c r="H11" s="13" t="str">
        <f>IF(COUNTIFS(회계장부!$A$2:$A$97277,기준일자,회계장부!$N$2:$N$97277,16)&gt;0,INDEX(회계장부!D:D,SUMPRODUCT((회계장부!$A$2:$A$97277=기준일자)*(회계장부!$N$2:$N$97277=16)*(ROW(회계장부!$B$2:$B$97277)))),"")</f>
        <v/>
      </c>
      <c r="L11" s="2"/>
    </row>
    <row r="12" spans="1:15" ht="24.95" customHeight="1" x14ac:dyDescent="0.3">
      <c r="A12" s="167"/>
      <c r="B12" s="134" t="str">
        <f>IF(COUNTIFS(회계장부!$A$2:$A$97277,기준일자,회계장부!$N$2:$N$97277,8)&gt;0,INDEX(회계장부!B:B,SUMPRODUCT((회계장부!$A$2:$A$97277=기준일자)*(회계장부!$N$2:$N$97277=8)*(ROW(회계장부!$B$2:$B$97277)))),"")</f>
        <v/>
      </c>
      <c r="C12" s="129"/>
      <c r="D12" s="138" t="str">
        <f>IF(COUNTIFS(회계장부!$A$2:$A$97277,기준일자,회계장부!$N$2:$N$97277,8)&gt;0,INDEX(회계장부!D:D,SUMPRODUCT((회계장부!$A$2:$A$97277=기준일자)*(회계장부!$N$2:$N$97277=8)*(ROW(회계장부!$B$2:$B$97277)))),"")</f>
        <v/>
      </c>
      <c r="E12" s="138"/>
      <c r="F12" s="129" t="str">
        <f>IF(COUNTIFS(회계장부!$A$2:$A$97277,기준일자,회계장부!$N$2:$N$97277,17)&gt;0,INDEX(회계장부!B:B,SUMPRODUCT((회계장부!$A$2:$A$97277=기준일자)*(회계장부!$N$2:$N$97277=17)*(ROW(회계장부!$B$2:$B$97277)))),"")</f>
        <v/>
      </c>
      <c r="G12" s="129"/>
      <c r="H12" s="13" t="str">
        <f>IF(COUNTIFS(회계장부!$A$2:$A$97277,기준일자,회계장부!$N$2:$N$97277,17)&gt;0,INDEX(회계장부!D:D,SUMPRODUCT((회계장부!$A$2:$A$97277=기준일자)*(회계장부!$N$2:$N$97277=17)*(ROW(회계장부!$B$2:$B$97277)))),"")</f>
        <v/>
      </c>
      <c r="L12" s="2"/>
    </row>
    <row r="13" spans="1:15" ht="24.95" customHeight="1" x14ac:dyDescent="0.3">
      <c r="A13" s="167"/>
      <c r="B13" s="135" t="str">
        <f>IF(COUNTIFS(회계장부!$A$2:$A$97277,기준일자,회계장부!$N$2:$N$97277,9)&gt;0,INDEX(회계장부!B:B,SUMPRODUCT((회계장부!$A$2:$A$97277=기준일자)*(회계장부!$N$2:$N$97277=9)*(ROW(회계장부!$B$2:$B$97277)))),"")</f>
        <v/>
      </c>
      <c r="C13" s="136"/>
      <c r="D13" s="158" t="str">
        <f>IF(COUNTIFS(회계장부!$A$2:$A$97277,기준일자,회계장부!$N$2:$N$97277,9)&gt;0,INDEX(회계장부!D:D,SUMPRODUCT((회계장부!$A$2:$A$97277=기준일자)*(회계장부!$N$2:$N$97277=9)*(ROW(회계장부!$B$2:$B$97277)))),"")</f>
        <v/>
      </c>
      <c r="E13" s="158"/>
      <c r="F13" s="130" t="s">
        <v>32</v>
      </c>
      <c r="G13" s="130"/>
      <c r="H13" s="14">
        <f>SUM(D5:E13,H5:H12)</f>
        <v>32110</v>
      </c>
      <c r="L13" s="2"/>
    </row>
    <row r="14" spans="1:15" ht="24.95" customHeight="1" x14ac:dyDescent="0.3">
      <c r="A14" s="167" t="s">
        <v>33</v>
      </c>
      <c r="B14" s="140" t="s">
        <v>34</v>
      </c>
      <c r="C14" s="140"/>
      <c r="D14" s="164" t="s">
        <v>56</v>
      </c>
      <c r="E14" s="164"/>
      <c r="F14" s="164"/>
      <c r="G14" s="159" t="s">
        <v>35</v>
      </c>
      <c r="H14" s="160"/>
      <c r="L14" s="2"/>
    </row>
    <row r="15" spans="1:15" ht="24.95" customHeight="1" x14ac:dyDescent="0.3">
      <c r="A15" s="167"/>
      <c r="B15" s="8" t="s">
        <v>36</v>
      </c>
      <c r="C15" s="15">
        <f>SUMIFS(회계장부!C:C,회계장부!K:K,"자체헌금",회계장부!A:A,기준일자)</f>
        <v>0</v>
      </c>
      <c r="D15" s="8" t="s">
        <v>36</v>
      </c>
      <c r="E15" s="161">
        <f>SUMIFS(회계장부!C:C,회계장부!K:K,"교회보조금",회계장부!A:A,기준일자)</f>
        <v>0</v>
      </c>
      <c r="F15" s="161"/>
      <c r="G15" s="8" t="s">
        <v>36</v>
      </c>
      <c r="H15" s="16">
        <f>SUMIFS(회계장부!C:C,회계장부!K:K,"기타",회계장부!A:A,기준일자)</f>
        <v>0</v>
      </c>
      <c r="L15" s="2"/>
    </row>
    <row r="16" spans="1:15" ht="24.95" customHeight="1" x14ac:dyDescent="0.3">
      <c r="A16" s="167"/>
      <c r="B16" s="8" t="s">
        <v>37</v>
      </c>
      <c r="C16" s="15">
        <f>SUMIFS(회계장부!C:C,회계장부!K:K,"자체헌금",회계장부!A:A,"&lt;="&amp;기준일자)</f>
        <v>0</v>
      </c>
      <c r="D16" s="8" t="s">
        <v>37</v>
      </c>
      <c r="E16" s="161">
        <f>SUMIFS(회계장부!C:C,회계장부!K:K,"교회보조금",회계장부!A:A,"&lt;="&amp;기준일자)</f>
        <v>0</v>
      </c>
      <c r="F16" s="161"/>
      <c r="G16" s="8" t="s">
        <v>37</v>
      </c>
      <c r="H16" s="16">
        <f>SUMIFS(회계장부!C:C,회계장부!K:K,"기타",회계장부!A:A,"&lt;="&amp;기준일자)</f>
        <v>311658</v>
      </c>
      <c r="L16" s="2"/>
      <c r="O16" s="18"/>
    </row>
    <row r="17" spans="1:12" ht="24.95" customHeight="1" x14ac:dyDescent="0.3">
      <c r="A17" s="167" t="s">
        <v>38</v>
      </c>
      <c r="B17" s="8" t="s">
        <v>36</v>
      </c>
      <c r="C17" s="15">
        <f>SUMIFS(회계장부!D:D,회계장부!G:G,"지출항목",회계장부!A:A,기준일자)</f>
        <v>32110</v>
      </c>
      <c r="D17" s="17" t="s">
        <v>39</v>
      </c>
      <c r="E17" s="165">
        <f>C16+E16+H16</f>
        <v>311658</v>
      </c>
      <c r="F17" s="166"/>
      <c r="G17" s="140" t="s">
        <v>40</v>
      </c>
      <c r="H17" s="141"/>
      <c r="L17" s="18"/>
    </row>
    <row r="18" spans="1:12" ht="24.95" customHeight="1" x14ac:dyDescent="0.3">
      <c r="A18" s="167"/>
      <c r="B18" s="8" t="s">
        <v>37</v>
      </c>
      <c r="C18" s="15">
        <f>SUMIFS(회계장부!D:D,회계장부!G:G,"지출항목",회계장부!A:A,"&lt;="&amp;기준일자)</f>
        <v>32110</v>
      </c>
      <c r="D18" s="17" t="s">
        <v>41</v>
      </c>
      <c r="E18" s="165">
        <f>C16+E16+H16-C18</f>
        <v>279548</v>
      </c>
      <c r="F18" s="166"/>
      <c r="G18" s="162" t="s">
        <v>42</v>
      </c>
      <c r="H18" s="163"/>
    </row>
    <row r="19" spans="1:12" ht="24.95" customHeight="1" x14ac:dyDescent="0.3">
      <c r="A19" s="168" t="s">
        <v>43</v>
      </c>
      <c r="B19" s="170" t="str">
        <f>IF(COUNTIFS(회계장부!$A$2:$A$97277,기준일자,회계장부!$M$2:$M$97277,1)&gt;0,INDEX(회계장부!B:B,SUMPRODUCT((회계장부!$A$2:$A$97277=기준일자)*(회계장부!$M$2:$M$97277=1)*(ROW(회계장부!$B$2:$B$97277)))),"")</f>
        <v/>
      </c>
      <c r="C19" s="137"/>
      <c r="D19" s="154" t="str">
        <f>IF(COUNTIFS(회계장부!$A$2:$A$97277,기준일자,회계장부!$M$2:$M$97277,1)&gt;0,SUMPRODUCT((회계장부!$A$2:$A$97277=기준일자)*(회계장부!$M$2:$M$97277=1)*(회계장부!$C$2:$C$97277)),"")</f>
        <v/>
      </c>
      <c r="E19" s="155"/>
      <c r="F19" s="137" t="str">
        <f>IF(COUNTIFS(회계장부!$A$2:$A$97277,기준일자,회계장부!$M$2:$M$97277,7)&gt;0,INDEX(회계장부!B:B,SUMPRODUCT((회계장부!$A$2:$A$97277=기준일자)*(회계장부!$M$2:$M$97277=7)*(ROW(회계장부!$B$2:$B$97277)))),"")</f>
        <v/>
      </c>
      <c r="G19" s="137"/>
      <c r="H19" s="12" t="str">
        <f>IF(COUNTIFS(회계장부!$A$2:$A$97277,기준일자,회계장부!$M$2:$M$97277,7)&gt;0,SUMPRODUCT((회계장부!$A$2:$A$97277=기준일자)*(회계장부!$M$2:$M$97277=7)*(회계장부!$C$2:$C$97277)),"")</f>
        <v/>
      </c>
    </row>
    <row r="20" spans="1:12" ht="24.95" customHeight="1" x14ac:dyDescent="0.3">
      <c r="A20" s="167"/>
      <c r="B20" s="134" t="str">
        <f>IF(COUNTIFS(회계장부!$A$2:$A$97277,기준일자,회계장부!$M$2:$M$97277,2)&gt;0,INDEX(회계장부!B:B,SUMPRODUCT((회계장부!$A$2:$A$97277=기준일자)*(회계장부!$M$2:$M$97277=2)*(ROW(회계장부!$B$2:$B$97277)))),"")</f>
        <v/>
      </c>
      <c r="C20" s="129"/>
      <c r="D20" s="156" t="str">
        <f>IF(COUNTIFS(회계장부!$A$2:$A$97277,기준일자,회계장부!$M$2:$M$97277,2)&gt;0,SUMPRODUCT((회계장부!$A$2:$A$97277=기준일자)*(회계장부!$M$2:$M$97277=2)*(회계장부!$C$2:$C$97277)),"")</f>
        <v/>
      </c>
      <c r="E20" s="157"/>
      <c r="F20" s="129" t="str">
        <f>IF(COUNTIFS(회계장부!$A$2:$A$97277,기준일자,회계장부!$M$2:$M$97277,8)&gt;0,INDEX(회계장부!B:B,SUMPRODUCT((회계장부!$A$2:$A$97277=기준일자)*(회계장부!$M$2:$M$97277=8)*(ROW(회계장부!$B$2:$B$97277)))),"")</f>
        <v/>
      </c>
      <c r="G20" s="129"/>
      <c r="H20" s="13" t="str">
        <f>IF(COUNTIFS(회계장부!$A$2:$A$97277,기준일자,회계장부!$M$2:$M$97277,8)&gt;0,SUMPRODUCT((회계장부!$A$2:$A$97277=기준일자)*(회계장부!$M$2:$M$97277=8)*(회계장부!$C$2:$C$97277)),"")</f>
        <v/>
      </c>
    </row>
    <row r="21" spans="1:12" ht="24.95" customHeight="1" x14ac:dyDescent="0.3">
      <c r="A21" s="167"/>
      <c r="B21" s="134" t="str">
        <f>IF(COUNTIFS(회계장부!$A$2:$A$97277,기준일자,회계장부!$M$2:$M$97277,3)&gt;0,INDEX(회계장부!B:B,SUMPRODUCT((회계장부!$A$2:$A$97277=기준일자)*(회계장부!$M$2:$M$97277=3)*(ROW(회계장부!$B$2:$B$97277)))),"")</f>
        <v/>
      </c>
      <c r="C21" s="129"/>
      <c r="D21" s="138" t="str">
        <f>IF(COUNTIFS(회계장부!$A$2:$A$97277,기준일자,회계장부!$M$2:$M$97277,3)&gt;0,SUMPRODUCT((회계장부!$A$2:$A$97277=기준일자)*(회계장부!$M$2:$M$97277=3)*(회계장부!$C$2:$C$97277)),"")</f>
        <v/>
      </c>
      <c r="E21" s="138"/>
      <c r="F21" s="129" t="str">
        <f>IF(COUNTIFS(회계장부!$A$2:$A$97277,기준일자,회계장부!$M$2:$M$97277,9)&gt;0,INDEX(회계장부!B:B,SUMPRODUCT((회계장부!$A$2:$A$97277=기준일자)*(회계장부!$M$2:$M$97277=9)*(ROW(회계장부!$B$2:$B$97277)))),"")</f>
        <v/>
      </c>
      <c r="G21" s="129"/>
      <c r="H21" s="13" t="str">
        <f>IF(COUNTIFS(회계장부!$A$2:$A$97277,기준일자,회계장부!$M$2:$M$97277,9)&gt;0,SUMPRODUCT((회계장부!$A$2:$A$97277=기준일자)*(회계장부!$M$2:$M$97277=9)*(회계장부!$C$2:$C$97277)),"")</f>
        <v/>
      </c>
    </row>
    <row r="22" spans="1:12" ht="24.95" customHeight="1" x14ac:dyDescent="0.3">
      <c r="A22" s="167"/>
      <c r="B22" s="134" t="str">
        <f>IF(COUNTIFS(회계장부!$A$2:$A$97277,기준일자,회계장부!$M$2:$M$97277,4)&gt;0,INDEX(회계장부!B:B,SUMPRODUCT((회계장부!$A$2:$A$97277=기준일자)*(회계장부!$M$2:$M$97277=4)*(ROW(회계장부!$B$2:$B$97277)))),"")</f>
        <v/>
      </c>
      <c r="C22" s="129"/>
      <c r="D22" s="138" t="str">
        <f>IF(COUNTIFS(회계장부!$A$2:$A$97277,기준일자,회계장부!$M$2:$M$97277,4)&gt;0,SUMPRODUCT((회계장부!$A$2:$A$97277=기준일자)*(회계장부!$M$2:$M$97277=4)*(회계장부!$C$2:$C$97277)),"")</f>
        <v/>
      </c>
      <c r="E22" s="138"/>
      <c r="F22" s="129" t="str">
        <f>IF(COUNTIFS(회계장부!$A$2:$A$97277,기준일자,회계장부!$M$2:$M$97277,10)&gt;0,INDEX(회계장부!B:B,SUMPRODUCT((회계장부!$A$2:$A$97277=기준일자)*(회계장부!$M$2:$M$97277=10)*(ROW(회계장부!$B$2:$B$97277)))),"")</f>
        <v/>
      </c>
      <c r="G22" s="129"/>
      <c r="H22" s="13" t="str">
        <f>IF(COUNTIFS(회계장부!$A$2:$A$97277,기준일자,회계장부!$M$2:$M$97277,10)&gt;0,SUMPRODUCT((회계장부!$A$2:$A$97277=기준일자)*(회계장부!$M$2:$M$97277=10)*(회계장부!$C$2:$C$97277)),"")</f>
        <v/>
      </c>
    </row>
    <row r="23" spans="1:12" ht="24.95" customHeight="1" x14ac:dyDescent="0.3">
      <c r="A23" s="167"/>
      <c r="B23" s="134" t="str">
        <f>IF(COUNTIFS(회계장부!$A$2:$A$97277,기준일자,회계장부!$M$2:$M$97277,5)&gt;0,INDEX(회계장부!B:B,SUMPRODUCT((회계장부!$A$2:$A$97277=기준일자)*(회계장부!$M$2:$M$97277=5)*(ROW(회계장부!$B$2:$B$97277)))),"")</f>
        <v/>
      </c>
      <c r="C23" s="129"/>
      <c r="D23" s="138" t="str">
        <f>IF(COUNTIFS(회계장부!$A$2:$A$97277,기준일자,회계장부!$M$2:$M$97277,5)&gt;0,SUMPRODUCT((회계장부!$A$2:$A$97277=기준일자)*(회계장부!$M$2:$M$97277=5)*(회계장부!$C$2:$C$97277)),"")</f>
        <v/>
      </c>
      <c r="E23" s="138"/>
      <c r="F23" s="129" t="str">
        <f>IF(COUNTIFS(회계장부!$A$2:$A$97277,기준일자,회계장부!$M$2:$M$97277,11)&gt;0,INDEX(회계장부!B:B,SUMPRODUCT((회계장부!$A$2:$A$97277=기준일자)*(회계장부!$M$2:$M$97277=11)*(ROW(회계장부!$B$2:$B$97277)))),"")</f>
        <v/>
      </c>
      <c r="G23" s="129"/>
      <c r="H23" s="13" t="str">
        <f>IF(COUNTIFS(회계장부!$A$2:$A$97277,기준일자,회계장부!$M$2:$M$97277,11)&gt;0,SUMPRODUCT((회계장부!$A$2:$A$97277=기준일자)*(회계장부!$M$2:$M$97277=11)*(회계장부!$C$2:$C$97277)),"")</f>
        <v/>
      </c>
    </row>
    <row r="24" spans="1:12" ht="24.95" customHeight="1" x14ac:dyDescent="0.3">
      <c r="A24" s="167"/>
      <c r="B24" s="135" t="str">
        <f>IF(COUNTIFS(회계장부!$A$2:$A$97277,기준일자,회계장부!$M$2:$M$97277,6)&gt;0,INDEX(회계장부!B:B,SUMPRODUCT((회계장부!$A$2:$A$97277=기준일자)*(회계장부!$M$2:$M$97277=6)*(ROW(회계장부!$B$2:$B$97277)))),"")</f>
        <v/>
      </c>
      <c r="C24" s="136"/>
      <c r="D24" s="158" t="str">
        <f>IF(COUNTIFS(회계장부!$A$2:$A$97277,기준일자,회계장부!$M$2:$M$97277,6)&gt;0,SUMPRODUCT((회계장부!$A$2:$A$97277=기준일자)*(회계장부!$M$2:$M$97277=6)*(회계장부!$C$2:$C$97277)),"")</f>
        <v/>
      </c>
      <c r="E24" s="158"/>
      <c r="F24" s="130" t="s">
        <v>32</v>
      </c>
      <c r="G24" s="130"/>
      <c r="H24" s="14">
        <f>SUM(D19:E24,H19:H23)</f>
        <v>0</v>
      </c>
    </row>
    <row r="25" spans="1:12" ht="24.95" customHeight="1" x14ac:dyDescent="0.3">
      <c r="A25" s="167" t="s">
        <v>44</v>
      </c>
      <c r="B25" s="140" t="s">
        <v>45</v>
      </c>
      <c r="C25" s="140"/>
      <c r="D25" s="139" t="s">
        <v>46</v>
      </c>
      <c r="E25" s="139"/>
      <c r="F25" s="139"/>
      <c r="G25" s="140" t="s">
        <v>237</v>
      </c>
      <c r="H25" s="141"/>
    </row>
    <row r="26" spans="1:12" ht="24.95" customHeight="1" x14ac:dyDescent="0.3">
      <c r="A26" s="167"/>
      <c r="B26" s="142"/>
      <c r="C26" s="143"/>
      <c r="D26" s="146"/>
      <c r="E26" s="147"/>
      <c r="F26" s="148"/>
      <c r="G26" s="140"/>
      <c r="H26" s="141"/>
    </row>
    <row r="27" spans="1:12" ht="24.95" customHeight="1" thickBot="1" x14ac:dyDescent="0.35">
      <c r="A27" s="169"/>
      <c r="B27" s="144"/>
      <c r="C27" s="145"/>
      <c r="D27" s="149"/>
      <c r="E27" s="150"/>
      <c r="F27" s="151"/>
      <c r="G27" s="152"/>
      <c r="H27" s="153"/>
    </row>
    <row r="28" spans="1:12" ht="24.95" customHeight="1" x14ac:dyDescent="0.3">
      <c r="A28" s="133" t="s">
        <v>47</v>
      </c>
      <c r="B28" s="133"/>
      <c r="C28" s="133"/>
      <c r="D28" s="133"/>
      <c r="E28" s="133"/>
      <c r="F28" s="133"/>
      <c r="G28" s="133"/>
      <c r="H28" s="133"/>
    </row>
  </sheetData>
  <mergeCells count="72">
    <mergeCell ref="A5:A13"/>
    <mergeCell ref="D5:E5"/>
    <mergeCell ref="D6:E6"/>
    <mergeCell ref="D7:E7"/>
    <mergeCell ref="D8:E8"/>
    <mergeCell ref="D10:E10"/>
    <mergeCell ref="D11:E11"/>
    <mergeCell ref="D12:E12"/>
    <mergeCell ref="D13:E13"/>
    <mergeCell ref="B5:C5"/>
    <mergeCell ref="B6:C6"/>
    <mergeCell ref="B7:C7"/>
    <mergeCell ref="B8:C8"/>
    <mergeCell ref="B9:C9"/>
    <mergeCell ref="B2:E2"/>
    <mergeCell ref="E3:F3"/>
    <mergeCell ref="F2:G2"/>
    <mergeCell ref="C4:F4"/>
    <mergeCell ref="G4:H4"/>
    <mergeCell ref="A14:A16"/>
    <mergeCell ref="A17:A18"/>
    <mergeCell ref="A19:A24"/>
    <mergeCell ref="A25:A27"/>
    <mergeCell ref="B14:C14"/>
    <mergeCell ref="B19:C19"/>
    <mergeCell ref="B20:C20"/>
    <mergeCell ref="B21:C21"/>
    <mergeCell ref="B22:C22"/>
    <mergeCell ref="B25:C25"/>
    <mergeCell ref="G14:H14"/>
    <mergeCell ref="E15:F15"/>
    <mergeCell ref="E16:F16"/>
    <mergeCell ref="G17:H17"/>
    <mergeCell ref="G18:H18"/>
    <mergeCell ref="D14:F14"/>
    <mergeCell ref="E17:F17"/>
    <mergeCell ref="E18:F18"/>
    <mergeCell ref="F24:G24"/>
    <mergeCell ref="B23:C23"/>
    <mergeCell ref="B24:C24"/>
    <mergeCell ref="D19:E19"/>
    <mergeCell ref="D20:E20"/>
    <mergeCell ref="D21:E21"/>
    <mergeCell ref="D22:E22"/>
    <mergeCell ref="D23:E23"/>
    <mergeCell ref="D24:E24"/>
    <mergeCell ref="F19:G19"/>
    <mergeCell ref="F20:G20"/>
    <mergeCell ref="F21:G21"/>
    <mergeCell ref="F22:G22"/>
    <mergeCell ref="F23:G23"/>
    <mergeCell ref="D25:F25"/>
    <mergeCell ref="G25:H25"/>
    <mergeCell ref="B26:C27"/>
    <mergeCell ref="D26:F27"/>
    <mergeCell ref="G26:H27"/>
    <mergeCell ref="F11:G11"/>
    <mergeCell ref="F12:G12"/>
    <mergeCell ref="F13:G13"/>
    <mergeCell ref="A1:H1"/>
    <mergeCell ref="A28:H28"/>
    <mergeCell ref="B10:C10"/>
    <mergeCell ref="B11:C11"/>
    <mergeCell ref="B12:C12"/>
    <mergeCell ref="B13:C13"/>
    <mergeCell ref="F5:G5"/>
    <mergeCell ref="F6:G6"/>
    <mergeCell ref="F7:G7"/>
    <mergeCell ref="F8:G8"/>
    <mergeCell ref="F9:G9"/>
    <mergeCell ref="F10:G10"/>
    <mergeCell ref="D9:E9"/>
  </mergeCells>
  <phoneticPr fontId="2" type="noConversion"/>
  <pageMargins left="7.874015748031496E-2" right="7.874015748031496E-2" top="0.47244094488188981" bottom="0.31496062992125984" header="0.31496062992125984" footer="0.31496062992125984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14"/>
  <sheetViews>
    <sheetView workbookViewId="0">
      <selection activeCell="C4" sqref="C4"/>
    </sheetView>
  </sheetViews>
  <sheetFormatPr defaultRowHeight="16.5" x14ac:dyDescent="0.3"/>
  <cols>
    <col min="1" max="1" width="9" style="1"/>
    <col min="2" max="2" width="12" style="19" customWidth="1"/>
    <col min="3" max="3" width="12.625" style="19" customWidth="1"/>
    <col min="4" max="4" width="12.5" style="19" customWidth="1"/>
    <col min="5" max="5" width="13.375" style="19" customWidth="1"/>
    <col min="6" max="6" width="10.875" style="19" bestFit="1" customWidth="1"/>
    <col min="7" max="8" width="9" style="19"/>
  </cols>
  <sheetData>
    <row r="1" spans="1:6" customFormat="1" x14ac:dyDescent="0.3">
      <c r="A1" s="1"/>
      <c r="B1" s="176" t="s">
        <v>49</v>
      </c>
      <c r="C1" s="176"/>
      <c r="D1" s="176" t="s">
        <v>37</v>
      </c>
      <c r="E1" s="176"/>
      <c r="F1" s="176" t="s">
        <v>50</v>
      </c>
    </row>
    <row r="2" spans="1:6" customFormat="1" x14ac:dyDescent="0.3">
      <c r="A2" s="1" t="s">
        <v>16</v>
      </c>
      <c r="B2" s="2" t="s">
        <v>20</v>
      </c>
      <c r="C2" s="2" t="s">
        <v>21</v>
      </c>
      <c r="D2" s="2" t="s">
        <v>20</v>
      </c>
      <c r="E2" s="2" t="s">
        <v>21</v>
      </c>
      <c r="F2" s="176"/>
    </row>
    <row r="3" spans="1:6" customFormat="1" x14ac:dyDescent="0.3">
      <c r="A3" s="1">
        <v>1</v>
      </c>
      <c r="B3" s="19">
        <f>SUMIFS(수입,회계월,월별누계!A3)</f>
        <v>311703</v>
      </c>
      <c r="C3" s="19">
        <f>SUMIFS(지출,회계월,월별누계!A3)</f>
        <v>32110</v>
      </c>
      <c r="D3" s="19">
        <f>SUMIFS(수입,회계월,"&lt;="&amp; 월별누계!A3)</f>
        <v>311703</v>
      </c>
      <c r="E3" s="19">
        <f>SUMIFS(지출,회계월,"&lt;="&amp; 월별누계!A3)</f>
        <v>32110</v>
      </c>
      <c r="F3" s="19">
        <f>D3-E3</f>
        <v>279593</v>
      </c>
    </row>
    <row r="4" spans="1:6" customFormat="1" x14ac:dyDescent="0.3">
      <c r="A4" s="1">
        <v>2</v>
      </c>
      <c r="B4" s="19">
        <f>SUMIFS(수입,회계월,월별누계!A4)</f>
        <v>0</v>
      </c>
      <c r="C4" s="19">
        <f>SUMIFS(지출,회계월,월별누계!A4)</f>
        <v>0</v>
      </c>
      <c r="D4" s="19">
        <f>SUMIFS(수입,회계월,"&lt;="&amp; 월별누계!A4)</f>
        <v>311703</v>
      </c>
      <c r="E4" s="19">
        <f>SUMIFS(지출,회계월,"&lt;="&amp; 월별누계!A4)</f>
        <v>32110</v>
      </c>
      <c r="F4" s="19">
        <f t="shared" ref="F4:F14" si="0">D4-E4</f>
        <v>279593</v>
      </c>
    </row>
    <row r="5" spans="1:6" customFormat="1" x14ac:dyDescent="0.3">
      <c r="A5" s="1">
        <v>3</v>
      </c>
      <c r="B5" s="19">
        <f>SUMIFS(수입,회계월,월별누계!A5)</f>
        <v>0</v>
      </c>
      <c r="C5" s="19">
        <f>SUMIFS(지출,회계월,월별누계!A5)</f>
        <v>0</v>
      </c>
      <c r="D5" s="19">
        <f>SUMIFS(수입,회계월,"&lt;="&amp; 월별누계!A5)</f>
        <v>311703</v>
      </c>
      <c r="E5" s="19">
        <f>SUMIFS(지출,회계월,"&lt;="&amp; 월별누계!A5)</f>
        <v>32110</v>
      </c>
      <c r="F5" s="19">
        <f t="shared" si="0"/>
        <v>279593</v>
      </c>
    </row>
    <row r="6" spans="1:6" customFormat="1" x14ac:dyDescent="0.3">
      <c r="A6" s="1">
        <v>4</v>
      </c>
      <c r="B6" s="19">
        <f>SUMIFS(수입,회계월,월별누계!A6)</f>
        <v>0</v>
      </c>
      <c r="C6" s="19">
        <f>SUMIFS(지출,회계월,월별누계!A6)</f>
        <v>0</v>
      </c>
      <c r="D6" s="19">
        <f>SUMIFS(수입,회계월,"&lt;="&amp; 월별누계!A6)</f>
        <v>311703</v>
      </c>
      <c r="E6" s="19">
        <f>SUMIFS(지출,회계월,"&lt;="&amp; 월별누계!A6)</f>
        <v>32110</v>
      </c>
      <c r="F6" s="19">
        <f t="shared" si="0"/>
        <v>279593</v>
      </c>
    </row>
    <row r="7" spans="1:6" customFormat="1" x14ac:dyDescent="0.3">
      <c r="A7" s="1">
        <v>5</v>
      </c>
      <c r="B7" s="19">
        <f>SUMIFS(수입,회계월,월별누계!A7)</f>
        <v>0</v>
      </c>
      <c r="C7" s="19">
        <f>SUMIFS(지출,회계월,월별누계!A7)</f>
        <v>0</v>
      </c>
      <c r="D7" s="19">
        <f>SUMIFS(수입,회계월,"&lt;="&amp; 월별누계!A7)</f>
        <v>311703</v>
      </c>
      <c r="E7" s="19">
        <f>SUMIFS(지출,회계월,"&lt;="&amp; 월별누계!A7)</f>
        <v>32110</v>
      </c>
      <c r="F7" s="19">
        <f t="shared" si="0"/>
        <v>279593</v>
      </c>
    </row>
    <row r="8" spans="1:6" customFormat="1" x14ac:dyDescent="0.3">
      <c r="A8" s="1">
        <v>6</v>
      </c>
      <c r="B8" s="19">
        <f>SUMIFS(수입,회계월,월별누계!A8)</f>
        <v>0</v>
      </c>
      <c r="C8" s="19">
        <f>SUMIFS(지출,회계월,월별누계!A8)</f>
        <v>0</v>
      </c>
      <c r="D8" s="19">
        <f>SUMIFS(수입,회계월,"&lt;="&amp; 월별누계!A8)</f>
        <v>311703</v>
      </c>
      <c r="E8" s="19">
        <f>SUMIFS(지출,회계월,"&lt;="&amp; 월별누계!A8)</f>
        <v>32110</v>
      </c>
      <c r="F8" s="19">
        <f t="shared" si="0"/>
        <v>279593</v>
      </c>
    </row>
    <row r="9" spans="1:6" customFormat="1" ht="17.25" customHeight="1" x14ac:dyDescent="0.3">
      <c r="A9" s="1">
        <v>7</v>
      </c>
      <c r="B9" s="19">
        <f>SUMIFS(수입,회계월,월별누계!A9)</f>
        <v>0</v>
      </c>
      <c r="C9" s="19">
        <f>SUMIFS(지출,회계월,월별누계!A9)</f>
        <v>0</v>
      </c>
      <c r="D9" s="19">
        <f>SUMIFS(수입,회계월,"&lt;="&amp; 월별누계!A9)</f>
        <v>311703</v>
      </c>
      <c r="E9" s="19">
        <f>SUMIFS(지출,회계월,"&lt;="&amp; 월별누계!A9)</f>
        <v>32110</v>
      </c>
      <c r="F9" s="19">
        <f t="shared" si="0"/>
        <v>279593</v>
      </c>
    </row>
    <row r="10" spans="1:6" customFormat="1" x14ac:dyDescent="0.3">
      <c r="A10" s="1">
        <v>8</v>
      </c>
      <c r="B10" s="19">
        <f>SUMIFS(수입,회계월,월별누계!A10)</f>
        <v>0</v>
      </c>
      <c r="C10" s="19">
        <f>SUMIFS(지출,회계월,월별누계!A10)</f>
        <v>0</v>
      </c>
      <c r="D10" s="19">
        <f>SUMIFS(수입,회계월,"&lt;="&amp; 월별누계!A10)</f>
        <v>311703</v>
      </c>
      <c r="E10" s="19">
        <f>SUMIFS(지출,회계월,"&lt;="&amp; 월별누계!A10)</f>
        <v>32110</v>
      </c>
      <c r="F10" s="19">
        <f t="shared" si="0"/>
        <v>279593</v>
      </c>
    </row>
    <row r="11" spans="1:6" customFormat="1" x14ac:dyDescent="0.3">
      <c r="A11" s="1">
        <v>9</v>
      </c>
      <c r="B11" s="19">
        <f>SUMIFS(수입,회계월,월별누계!A11)</f>
        <v>0</v>
      </c>
      <c r="C11" s="19">
        <f>SUMIFS(지출,회계월,월별누계!A11)</f>
        <v>0</v>
      </c>
      <c r="D11" s="19">
        <f>SUMIFS(수입,회계월,"&lt;="&amp; 월별누계!A11)</f>
        <v>311703</v>
      </c>
      <c r="E11" s="19">
        <f>SUMIFS(지출,회계월,"&lt;="&amp; 월별누계!A11)</f>
        <v>32110</v>
      </c>
      <c r="F11" s="19">
        <f t="shared" si="0"/>
        <v>279593</v>
      </c>
    </row>
    <row r="12" spans="1:6" customFormat="1" x14ac:dyDescent="0.3">
      <c r="A12" s="1">
        <v>10</v>
      </c>
      <c r="B12" s="19">
        <f>SUMIFS(수입,회계월,월별누계!A12)</f>
        <v>0</v>
      </c>
      <c r="C12" s="19">
        <f>SUMIFS(지출,회계월,월별누계!A12)</f>
        <v>0</v>
      </c>
      <c r="D12" s="19">
        <f>SUMIFS(수입,회계월,"&lt;="&amp; 월별누계!A12)</f>
        <v>311703</v>
      </c>
      <c r="E12" s="19">
        <f>SUMIFS(지출,회계월,"&lt;="&amp; 월별누계!A12)</f>
        <v>32110</v>
      </c>
      <c r="F12" s="19">
        <f t="shared" si="0"/>
        <v>279593</v>
      </c>
    </row>
    <row r="13" spans="1:6" customFormat="1" x14ac:dyDescent="0.3">
      <c r="A13" s="1">
        <v>11</v>
      </c>
      <c r="B13" s="19">
        <f>SUMIFS(수입,회계월,월별누계!A13)</f>
        <v>0</v>
      </c>
      <c r="C13" s="19">
        <f>SUMIFS(지출,회계월,월별누계!A13)</f>
        <v>0</v>
      </c>
      <c r="D13" s="19">
        <f>SUMIFS(수입,회계월,"&lt;="&amp; 월별누계!A13)</f>
        <v>311703</v>
      </c>
      <c r="E13" s="19">
        <f>SUMIFS(지출,회계월,"&lt;="&amp; 월별누계!A13)</f>
        <v>32110</v>
      </c>
      <c r="F13" s="19">
        <f t="shared" si="0"/>
        <v>279593</v>
      </c>
    </row>
    <row r="14" spans="1:6" customFormat="1" x14ac:dyDescent="0.3">
      <c r="A14" s="1">
        <v>12</v>
      </c>
      <c r="B14" s="19">
        <f>SUMIFS(수입,회계월,월별누계!A14)</f>
        <v>0</v>
      </c>
      <c r="C14" s="19">
        <f>SUMIFS(지출,회계월,월별누계!A14)</f>
        <v>0</v>
      </c>
      <c r="D14" s="19">
        <f>SUMIFS(수입,회계월,"&lt;="&amp; 월별누계!A14)</f>
        <v>311703</v>
      </c>
      <c r="E14" s="19">
        <f>SUMIFS(지출,회계월,"&lt;="&amp; 월별누계!A14)</f>
        <v>32110</v>
      </c>
      <c r="F14" s="19">
        <f t="shared" si="0"/>
        <v>279593</v>
      </c>
    </row>
  </sheetData>
  <mergeCells count="3">
    <mergeCell ref="B1:C1"/>
    <mergeCell ref="D1:E1"/>
    <mergeCell ref="F1:F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9"/>
  <sheetViews>
    <sheetView workbookViewId="0">
      <selection activeCell="B3" sqref="B3:C3"/>
    </sheetView>
  </sheetViews>
  <sheetFormatPr defaultRowHeight="13.5" x14ac:dyDescent="0.3"/>
  <cols>
    <col min="1" max="1" width="8.875" style="76" customWidth="1"/>
    <col min="2" max="8" width="14.875" style="76" customWidth="1"/>
    <col min="9" max="9" width="3.625" style="76" customWidth="1"/>
    <col min="10" max="10" width="9.625" style="76" customWidth="1"/>
    <col min="11" max="11" width="10.625" style="76" customWidth="1"/>
    <col min="12" max="13" width="14.875" style="76" customWidth="1"/>
    <col min="14" max="16384" width="9" style="76"/>
  </cols>
  <sheetData>
    <row r="1" spans="1:13" s="48" customFormat="1" ht="33.75" x14ac:dyDescent="0.3">
      <c r="A1" s="211" t="s">
        <v>246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3" s="48" customFormat="1" ht="6.75" customHeight="1" x14ac:dyDescent="0.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s="52" customFormat="1" ht="24" customHeight="1" thickBot="1" x14ac:dyDescent="0.35">
      <c r="A3" s="50" t="s">
        <v>135</v>
      </c>
      <c r="B3" s="212"/>
      <c r="C3" s="212"/>
      <c r="D3" s="51"/>
      <c r="E3" s="51"/>
      <c r="F3" s="51"/>
      <c r="G3" s="51"/>
      <c r="H3" s="51"/>
      <c r="I3" s="51"/>
      <c r="J3" s="51"/>
      <c r="K3" s="51"/>
      <c r="M3" s="53" t="s">
        <v>136</v>
      </c>
    </row>
    <row r="4" spans="1:13" s="52" customFormat="1" ht="21" customHeight="1" x14ac:dyDescent="0.3">
      <c r="A4" s="213" t="s">
        <v>62</v>
      </c>
      <c r="B4" s="216" t="s">
        <v>63</v>
      </c>
      <c r="C4" s="217"/>
      <c r="D4" s="217"/>
      <c r="E4" s="217"/>
      <c r="F4" s="217"/>
      <c r="G4" s="217"/>
      <c r="H4" s="218"/>
      <c r="I4" s="219" t="s">
        <v>64</v>
      </c>
      <c r="J4" s="220"/>
      <c r="K4" s="220"/>
      <c r="L4" s="221"/>
      <c r="M4" s="222" t="s">
        <v>65</v>
      </c>
    </row>
    <row r="5" spans="1:13" s="52" customFormat="1" ht="21" customHeight="1" x14ac:dyDescent="0.3">
      <c r="A5" s="214"/>
      <c r="B5" s="225" t="s">
        <v>66</v>
      </c>
      <c r="C5" s="227" t="s">
        <v>67</v>
      </c>
      <c r="D5" s="228"/>
      <c r="E5" s="228"/>
      <c r="F5" s="228"/>
      <c r="G5" s="228"/>
      <c r="H5" s="229" t="s">
        <v>68</v>
      </c>
      <c r="I5" s="231" t="s">
        <v>69</v>
      </c>
      <c r="J5" s="228"/>
      <c r="K5" s="232"/>
      <c r="L5" s="236" t="s">
        <v>70</v>
      </c>
      <c r="M5" s="223"/>
    </row>
    <row r="6" spans="1:13" s="52" customFormat="1" ht="21" customHeight="1" x14ac:dyDescent="0.3">
      <c r="A6" s="215"/>
      <c r="B6" s="226"/>
      <c r="C6" s="54" t="s">
        <v>71</v>
      </c>
      <c r="D6" s="54" t="s">
        <v>72</v>
      </c>
      <c r="E6" s="54" t="s">
        <v>73</v>
      </c>
      <c r="F6" s="54" t="s">
        <v>74</v>
      </c>
      <c r="G6" s="55" t="s">
        <v>32</v>
      </c>
      <c r="H6" s="230"/>
      <c r="I6" s="233"/>
      <c r="J6" s="234"/>
      <c r="K6" s="235"/>
      <c r="L6" s="237"/>
      <c r="M6" s="224"/>
    </row>
    <row r="7" spans="1:13" s="52" customFormat="1" ht="33" customHeight="1" x14ac:dyDescent="0.3">
      <c r="A7" s="56" t="s">
        <v>75</v>
      </c>
      <c r="B7" s="57">
        <f>SUMIFS(수입,회계장부!H:H,"전년도이월금")</f>
        <v>311658</v>
      </c>
      <c r="C7" s="238"/>
      <c r="D7" s="206"/>
      <c r="E7" s="206"/>
      <c r="F7" s="206"/>
      <c r="G7" s="206"/>
      <c r="H7" s="58">
        <f>B7</f>
        <v>311658</v>
      </c>
      <c r="I7" s="59"/>
      <c r="J7" s="60"/>
      <c r="K7" s="206"/>
      <c r="L7" s="206"/>
      <c r="M7" s="207"/>
    </row>
    <row r="8" spans="1:13" s="64" customFormat="1" ht="24.75" customHeight="1" x14ac:dyDescent="0.3">
      <c r="A8" s="201" t="s">
        <v>76</v>
      </c>
      <c r="B8" s="208"/>
      <c r="C8" s="202">
        <f>SUMIFS(수입,코드,"IC1",회계월,"="&amp;LEFT(A8,LEN(A8)-1))</f>
        <v>0</v>
      </c>
      <c r="D8" s="202">
        <f>SUMIFS(수입,코드,"IC2",회계월,"="&amp;LEFT(A8,LEN(A8)-1))</f>
        <v>0</v>
      </c>
      <c r="E8" s="202">
        <f>SUMIFS(수입,관,"*헌금",회계월,"="&amp;LEFT(A8,LEN(A8)-1))</f>
        <v>0</v>
      </c>
      <c r="F8" s="202">
        <f>SUMIFS(수입,회계월,"="&amp;LEFT(A8,LEN(A8)-1),회계장부!H:H,"&lt;&gt;"&amp;"전년도이월금")-SUM(C8:E8)</f>
        <v>45</v>
      </c>
      <c r="G8" s="202">
        <f>SUM(C8:F9)</f>
        <v>45</v>
      </c>
      <c r="H8" s="199">
        <f>G8</f>
        <v>45</v>
      </c>
      <c r="I8" s="61" t="s">
        <v>77</v>
      </c>
      <c r="J8" s="185" t="s">
        <v>168</v>
      </c>
      <c r="K8" s="186"/>
      <c r="L8" s="62">
        <f>SUMIFS(지출,관,J8,회계월,"&lt;=6")</f>
        <v>32110</v>
      </c>
      <c r="M8" s="63"/>
    </row>
    <row r="9" spans="1:13" s="64" customFormat="1" ht="24.75" customHeight="1" x14ac:dyDescent="0.3">
      <c r="A9" s="204"/>
      <c r="B9" s="209"/>
      <c r="C9" s="203"/>
      <c r="D9" s="203"/>
      <c r="E9" s="203"/>
      <c r="F9" s="203"/>
      <c r="G9" s="203"/>
      <c r="H9" s="200"/>
      <c r="I9" s="61" t="s">
        <v>78</v>
      </c>
      <c r="J9" s="185" t="s">
        <v>189</v>
      </c>
      <c r="K9" s="186"/>
      <c r="L9" s="62">
        <f t="shared" ref="L9:L19" si="0">SUMIFS(지출,관,J9,회계월,"&lt;=6")</f>
        <v>0</v>
      </c>
      <c r="M9" s="65"/>
    </row>
    <row r="10" spans="1:13" s="64" customFormat="1" ht="24.75" customHeight="1" x14ac:dyDescent="0.3">
      <c r="A10" s="201" t="s">
        <v>79</v>
      </c>
      <c r="B10" s="209"/>
      <c r="C10" s="202">
        <f>SUMIFS(수입,코드,"IC1",회계월,"="&amp;LEFT(A10,LEN(A10)-1))</f>
        <v>0</v>
      </c>
      <c r="D10" s="202">
        <f>SUMIFS(수입,코드,"IC2",회계월,"="&amp;LEFT(A10,LEN(A10)-1))</f>
        <v>0</v>
      </c>
      <c r="E10" s="202">
        <f>SUMIFS(수입,관,"*헌금",회계월,"="&amp;LEFT(A10,LEN(A10)-1))</f>
        <v>0</v>
      </c>
      <c r="F10" s="202">
        <f>SUMIFS(수입,회계월,"="&amp;LEFT(A10,LEN(A10)-1),회계장부!H:H,"&lt;&gt;"&amp;"전년도이월금")-SUM(C10:E10)</f>
        <v>0</v>
      </c>
      <c r="G10" s="202">
        <f>SUM(C10:F11)</f>
        <v>0</v>
      </c>
      <c r="H10" s="199">
        <f>G10</f>
        <v>0</v>
      </c>
      <c r="I10" s="61" t="s">
        <v>80</v>
      </c>
      <c r="J10" s="185" t="s">
        <v>190</v>
      </c>
      <c r="K10" s="186"/>
      <c r="L10" s="62">
        <f t="shared" si="0"/>
        <v>0</v>
      </c>
      <c r="M10" s="65"/>
    </row>
    <row r="11" spans="1:13" s="64" customFormat="1" ht="24.75" customHeight="1" x14ac:dyDescent="0.3">
      <c r="A11" s="204"/>
      <c r="B11" s="209"/>
      <c r="C11" s="203"/>
      <c r="D11" s="203"/>
      <c r="E11" s="203"/>
      <c r="F11" s="203"/>
      <c r="G11" s="203"/>
      <c r="H11" s="200"/>
      <c r="I11" s="61" t="s">
        <v>81</v>
      </c>
      <c r="J11" s="185" t="s">
        <v>191</v>
      </c>
      <c r="K11" s="186"/>
      <c r="L11" s="62">
        <f t="shared" si="0"/>
        <v>0</v>
      </c>
      <c r="M11" s="65"/>
    </row>
    <row r="12" spans="1:13" s="64" customFormat="1" ht="24.75" customHeight="1" x14ac:dyDescent="0.3">
      <c r="A12" s="205" t="s">
        <v>82</v>
      </c>
      <c r="B12" s="209"/>
      <c r="C12" s="202">
        <f>SUMIFS(수입,코드,"IC1",회계월,"="&amp;LEFT(A12,LEN(A12)-1))</f>
        <v>0</v>
      </c>
      <c r="D12" s="202">
        <f>SUMIFS(수입,코드,"IC2",회계월,"="&amp;LEFT(A12,LEN(A12)-1))</f>
        <v>0</v>
      </c>
      <c r="E12" s="202">
        <f>SUMIFS(수입,관,"*헌금",회계월,"="&amp;LEFT(A12,LEN(A12)-1))</f>
        <v>0</v>
      </c>
      <c r="F12" s="202">
        <f>SUMIFS(수입,회계월,"="&amp;LEFT(A12,LEN(A12)-1),회계장부!H:H,"&lt;&gt;"&amp;"전년도이월금")-SUM(C12:E12)</f>
        <v>0</v>
      </c>
      <c r="G12" s="202">
        <f>SUM(C12:F13)</f>
        <v>0</v>
      </c>
      <c r="H12" s="199">
        <f>G12</f>
        <v>0</v>
      </c>
      <c r="I12" s="61" t="s">
        <v>83</v>
      </c>
      <c r="J12" s="185" t="s">
        <v>182</v>
      </c>
      <c r="K12" s="186"/>
      <c r="L12" s="62">
        <f t="shared" si="0"/>
        <v>0</v>
      </c>
      <c r="M12" s="65"/>
    </row>
    <row r="13" spans="1:13" s="64" customFormat="1" ht="24.75" customHeight="1" x14ac:dyDescent="0.3">
      <c r="A13" s="204"/>
      <c r="B13" s="209"/>
      <c r="C13" s="203"/>
      <c r="D13" s="203"/>
      <c r="E13" s="203"/>
      <c r="F13" s="203"/>
      <c r="G13" s="203"/>
      <c r="H13" s="200"/>
      <c r="I13" s="61" t="s">
        <v>84</v>
      </c>
      <c r="J13" s="185" t="s">
        <v>192</v>
      </c>
      <c r="K13" s="186"/>
      <c r="L13" s="62">
        <f t="shared" si="0"/>
        <v>0</v>
      </c>
      <c r="M13" s="65"/>
    </row>
    <row r="14" spans="1:13" s="64" customFormat="1" ht="24.75" customHeight="1" x14ac:dyDescent="0.3">
      <c r="A14" s="201" t="s">
        <v>85</v>
      </c>
      <c r="B14" s="209"/>
      <c r="C14" s="202">
        <f>SUMIFS(수입,코드,"IC1",회계월,"="&amp;LEFT(A14,LEN(A14)-1))</f>
        <v>0</v>
      </c>
      <c r="D14" s="202">
        <f>SUMIFS(수입,코드,"IC2",회계월,"="&amp;LEFT(A14,LEN(A14)-1))</f>
        <v>0</v>
      </c>
      <c r="E14" s="202">
        <f>SUMIFS(수입,관,"*헌금",회계월,"="&amp;LEFT(A14,LEN(A14)-1))</f>
        <v>0</v>
      </c>
      <c r="F14" s="202">
        <f>SUMIFS(수입,회계월,"="&amp;LEFT(A14,LEN(A14)-1),회계장부!H:H,"&lt;&gt;"&amp;"전년도이월금")-SUM(C14:E14)</f>
        <v>0</v>
      </c>
      <c r="G14" s="202">
        <f>SUM(C14:F15)</f>
        <v>0</v>
      </c>
      <c r="H14" s="199">
        <f>G14</f>
        <v>0</v>
      </c>
      <c r="I14" s="61" t="s">
        <v>86</v>
      </c>
      <c r="J14" s="185" t="s">
        <v>170</v>
      </c>
      <c r="K14" s="186"/>
      <c r="L14" s="62">
        <f t="shared" si="0"/>
        <v>0</v>
      </c>
      <c r="M14" s="65"/>
    </row>
    <row r="15" spans="1:13" s="64" customFormat="1" ht="24.75" customHeight="1" x14ac:dyDescent="0.3">
      <c r="A15" s="204"/>
      <c r="B15" s="209"/>
      <c r="C15" s="203"/>
      <c r="D15" s="203"/>
      <c r="E15" s="203"/>
      <c r="F15" s="203"/>
      <c r="G15" s="203"/>
      <c r="H15" s="200"/>
      <c r="I15" s="61" t="s">
        <v>87</v>
      </c>
      <c r="J15" s="185" t="s">
        <v>174</v>
      </c>
      <c r="K15" s="186"/>
      <c r="L15" s="62">
        <f t="shared" si="0"/>
        <v>0</v>
      </c>
      <c r="M15" s="65"/>
    </row>
    <row r="16" spans="1:13" s="64" customFormat="1" ht="24.75" customHeight="1" x14ac:dyDescent="0.3">
      <c r="A16" s="201" t="s">
        <v>88</v>
      </c>
      <c r="B16" s="209"/>
      <c r="C16" s="202">
        <f>SUMIFS(수입,코드,"IC1",회계월,"="&amp;LEFT(A16,LEN(A16)-1))</f>
        <v>0</v>
      </c>
      <c r="D16" s="202">
        <f>SUMIFS(수입,코드,"IC2",회계월,"="&amp;LEFT(A16,LEN(A16)-1))</f>
        <v>0</v>
      </c>
      <c r="E16" s="202">
        <f>SUMIFS(수입,관,"*헌금",회계월,"="&amp;LEFT(A16,LEN(A16)-1))</f>
        <v>0</v>
      </c>
      <c r="F16" s="202">
        <f>SUMIFS(수입,회계월,"="&amp;LEFT(A16,LEN(A16)-1),회계장부!H:H,"&lt;&gt;"&amp;"전년도이월금")-SUM(C16:E16)</f>
        <v>0</v>
      </c>
      <c r="G16" s="202">
        <f>SUM(C16:F17)</f>
        <v>0</v>
      </c>
      <c r="H16" s="199">
        <f>G16</f>
        <v>0</v>
      </c>
      <c r="I16" s="61" t="s">
        <v>89</v>
      </c>
      <c r="J16" s="185"/>
      <c r="K16" s="186"/>
      <c r="L16" s="62">
        <f t="shared" si="0"/>
        <v>0</v>
      </c>
      <c r="M16" s="65"/>
    </row>
    <row r="17" spans="1:14" s="64" customFormat="1" ht="24.75" customHeight="1" x14ac:dyDescent="0.3">
      <c r="A17" s="204"/>
      <c r="B17" s="209"/>
      <c r="C17" s="203"/>
      <c r="D17" s="203"/>
      <c r="E17" s="203"/>
      <c r="F17" s="203"/>
      <c r="G17" s="203"/>
      <c r="H17" s="200"/>
      <c r="I17" s="61" t="s">
        <v>90</v>
      </c>
      <c r="J17" s="185"/>
      <c r="K17" s="186"/>
      <c r="L17" s="62">
        <f t="shared" si="0"/>
        <v>0</v>
      </c>
      <c r="M17" s="65"/>
    </row>
    <row r="18" spans="1:14" s="64" customFormat="1" ht="24.75" customHeight="1" x14ac:dyDescent="0.3">
      <c r="A18" s="201" t="s">
        <v>91</v>
      </c>
      <c r="B18" s="209"/>
      <c r="C18" s="202">
        <f>SUMIFS(수입,코드,"IC1",회계월,"="&amp;LEFT(A18,LEN(A18)-1))</f>
        <v>0</v>
      </c>
      <c r="D18" s="202">
        <f>SUMIFS(수입,코드,"IC2",회계월,"="&amp;LEFT(A18,LEN(A18)-1))</f>
        <v>0</v>
      </c>
      <c r="E18" s="202">
        <f>SUMIFS(수입,관,"*헌금",회계월,"="&amp;LEFT(A18,LEN(A18)-1))</f>
        <v>0</v>
      </c>
      <c r="F18" s="202">
        <f>SUMIFS(수입,회계월,"="&amp;LEFT(A18,LEN(A18)-1),회계장부!H:H,"&lt;&gt;"&amp;"전년도이월금")-SUM(C18:E18)</f>
        <v>0</v>
      </c>
      <c r="G18" s="202">
        <f>SUM(C18:F19)</f>
        <v>0</v>
      </c>
      <c r="H18" s="199">
        <f>G18</f>
        <v>0</v>
      </c>
      <c r="I18" s="61" t="s">
        <v>92</v>
      </c>
      <c r="J18" s="185"/>
      <c r="K18" s="186"/>
      <c r="L18" s="62">
        <f t="shared" si="0"/>
        <v>0</v>
      </c>
      <c r="M18" s="65"/>
    </row>
    <row r="19" spans="1:14" s="64" customFormat="1" ht="24.75" customHeight="1" thickBot="1" x14ac:dyDescent="0.35">
      <c r="A19" s="188"/>
      <c r="B19" s="210"/>
      <c r="C19" s="203"/>
      <c r="D19" s="203"/>
      <c r="E19" s="203"/>
      <c r="F19" s="203"/>
      <c r="G19" s="203"/>
      <c r="H19" s="200"/>
      <c r="I19" s="66" t="s">
        <v>93</v>
      </c>
      <c r="J19" s="185"/>
      <c r="K19" s="186"/>
      <c r="L19" s="62">
        <f t="shared" si="0"/>
        <v>0</v>
      </c>
      <c r="M19" s="67"/>
    </row>
    <row r="20" spans="1:14" s="64" customFormat="1" ht="24.75" customHeight="1" thickBot="1" x14ac:dyDescent="0.35">
      <c r="A20" s="187" t="s">
        <v>94</v>
      </c>
      <c r="B20" s="189">
        <f>SUM(B7)</f>
        <v>311658</v>
      </c>
      <c r="C20" s="189">
        <f>SUM(C8:C19)</f>
        <v>0</v>
      </c>
      <c r="D20" s="189">
        <f>SUM(D8:D19)</f>
        <v>0</v>
      </c>
      <c r="E20" s="189">
        <f>SUM(E8:E19)</f>
        <v>0</v>
      </c>
      <c r="F20" s="189">
        <f>SUM(F8:F19)</f>
        <v>45</v>
      </c>
      <c r="G20" s="189">
        <f>SUM(G8:G19)</f>
        <v>45</v>
      </c>
      <c r="H20" s="191">
        <f>SUM(H7:H19)</f>
        <v>311703</v>
      </c>
      <c r="I20" s="193" t="s">
        <v>95</v>
      </c>
      <c r="J20" s="194"/>
      <c r="K20" s="195"/>
      <c r="L20" s="177">
        <f>SUM(L8:L19)</f>
        <v>32110</v>
      </c>
      <c r="M20" s="68" t="s">
        <v>96</v>
      </c>
    </row>
    <row r="21" spans="1:14" s="64" customFormat="1" ht="24.75" customHeight="1" thickBot="1" x14ac:dyDescent="0.35">
      <c r="A21" s="188"/>
      <c r="B21" s="190"/>
      <c r="C21" s="190"/>
      <c r="D21" s="190"/>
      <c r="E21" s="190"/>
      <c r="F21" s="190"/>
      <c r="G21" s="190"/>
      <c r="H21" s="192"/>
      <c r="I21" s="196"/>
      <c r="J21" s="197"/>
      <c r="K21" s="198"/>
      <c r="L21" s="178"/>
      <c r="M21" s="69">
        <f>H20-L20</f>
        <v>279593</v>
      </c>
    </row>
    <row r="22" spans="1:14" s="64" customFormat="1" ht="6" customHeight="1" x14ac:dyDescent="0.3">
      <c r="M22" s="70"/>
    </row>
    <row r="23" spans="1:14" s="64" customFormat="1" ht="16.5" x14ac:dyDescent="0.3">
      <c r="A23" s="52" t="s">
        <v>97</v>
      </c>
      <c r="B23" s="52" t="s">
        <v>98</v>
      </c>
      <c r="D23" s="52"/>
      <c r="E23" s="52"/>
      <c r="F23" s="52"/>
      <c r="G23" s="52"/>
      <c r="M23" s="70"/>
    </row>
    <row r="24" spans="1:14" s="71" customFormat="1" ht="14.25" customHeight="1" x14ac:dyDescent="0.3"/>
    <row r="25" spans="1:14" s="71" customFormat="1" ht="17.25" x14ac:dyDescent="0.3">
      <c r="B25" s="72" t="s">
        <v>137</v>
      </c>
    </row>
    <row r="26" spans="1:14" s="71" customFormat="1" ht="17.25" x14ac:dyDescent="0.3">
      <c r="B26" s="72" t="s">
        <v>248</v>
      </c>
    </row>
    <row r="27" spans="1:14" s="52" customFormat="1" ht="16.5" customHeight="1" thickBot="1" x14ac:dyDescent="0.35"/>
    <row r="28" spans="1:14" s="52" customFormat="1" ht="41.25" customHeight="1" thickBot="1" x14ac:dyDescent="0.35">
      <c r="B28" s="179" t="s">
        <v>138</v>
      </c>
      <c r="C28" s="179"/>
      <c r="D28" s="89"/>
      <c r="E28" s="90" t="s">
        <v>139</v>
      </c>
      <c r="F28" s="72" t="s">
        <v>140</v>
      </c>
      <c r="G28" s="72"/>
      <c r="H28" s="72"/>
      <c r="I28" s="72"/>
      <c r="J28" s="72"/>
      <c r="K28" s="73" t="s">
        <v>141</v>
      </c>
      <c r="L28" s="180" t="s">
        <v>142</v>
      </c>
      <c r="M28" s="181"/>
      <c r="N28" s="72"/>
    </row>
    <row r="29" spans="1:14" s="52" customFormat="1" ht="41.25" customHeight="1" thickBot="1" x14ac:dyDescent="0.35">
      <c r="A29" s="72"/>
      <c r="B29" s="179" t="s">
        <v>143</v>
      </c>
      <c r="C29" s="179"/>
      <c r="D29" s="89"/>
      <c r="E29" s="90" t="s">
        <v>144</v>
      </c>
      <c r="F29" s="72" t="s">
        <v>145</v>
      </c>
      <c r="G29" s="182"/>
      <c r="H29" s="182"/>
      <c r="I29" s="72"/>
      <c r="J29" s="72"/>
      <c r="K29" s="74" t="s">
        <v>146</v>
      </c>
      <c r="L29" s="183" t="s">
        <v>142</v>
      </c>
      <c r="M29" s="184"/>
      <c r="N29" s="72"/>
    </row>
    <row r="30" spans="1:14" s="52" customFormat="1" ht="9" customHeight="1" x14ac:dyDescent="0.3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</row>
    <row r="31" spans="1:14" s="64" customFormat="1" ht="16.5" x14ac:dyDescent="0.3"/>
    <row r="32" spans="1:14" s="64" customFormat="1" ht="16.5" x14ac:dyDescent="0.3">
      <c r="A32" s="71" t="s">
        <v>99</v>
      </c>
      <c r="B32" s="75" t="s">
        <v>100</v>
      </c>
    </row>
    <row r="33" spans="1:2" s="64" customFormat="1" ht="16.5" x14ac:dyDescent="0.3">
      <c r="A33" s="71"/>
      <c r="B33" s="71" t="s">
        <v>101</v>
      </c>
    </row>
    <row r="34" spans="1:2" s="64" customFormat="1" ht="16.5" x14ac:dyDescent="0.3">
      <c r="A34" s="71"/>
      <c r="B34" s="71" t="s">
        <v>102</v>
      </c>
    </row>
    <row r="35" spans="1:2" s="64" customFormat="1" ht="16.5" x14ac:dyDescent="0.3"/>
    <row r="36" spans="1:2" s="64" customFormat="1" ht="16.5" x14ac:dyDescent="0.3">
      <c r="A36" s="71"/>
      <c r="B36" s="71"/>
    </row>
    <row r="37" spans="1:2" s="64" customFormat="1" ht="16.5" x14ac:dyDescent="0.3">
      <c r="A37" s="71"/>
    </row>
    <row r="38" spans="1:2" s="64" customFormat="1" ht="16.5" x14ac:dyDescent="0.3">
      <c r="A38" s="71"/>
    </row>
    <row r="39" spans="1:2" s="64" customFormat="1" ht="16.5" x14ac:dyDescent="0.3">
      <c r="A39" s="71"/>
    </row>
  </sheetData>
  <mergeCells count="83">
    <mergeCell ref="D10:D11"/>
    <mergeCell ref="E10:E11"/>
    <mergeCell ref="A1:M1"/>
    <mergeCell ref="B3:C3"/>
    <mergeCell ref="A4:A6"/>
    <mergeCell ref="B4:H4"/>
    <mergeCell ref="I4:L4"/>
    <mergeCell ref="M4:M6"/>
    <mergeCell ref="B5:B6"/>
    <mergeCell ref="C5:G5"/>
    <mergeCell ref="H5:H6"/>
    <mergeCell ref="I5:K6"/>
    <mergeCell ref="L5:L6"/>
    <mergeCell ref="J10:K10"/>
    <mergeCell ref="J11:K11"/>
    <mergeCell ref="C7:G7"/>
    <mergeCell ref="K7:M7"/>
    <mergeCell ref="A8:A9"/>
    <mergeCell ref="B8:B19"/>
    <mergeCell ref="C8:C9"/>
    <mergeCell ref="D8:D9"/>
    <mergeCell ref="E8:E9"/>
    <mergeCell ref="F8:F9"/>
    <mergeCell ref="G8:G9"/>
    <mergeCell ref="H8:H9"/>
    <mergeCell ref="J8:K8"/>
    <mergeCell ref="J9:K9"/>
    <mergeCell ref="A10:A11"/>
    <mergeCell ref="C10:C11"/>
    <mergeCell ref="E12:E13"/>
    <mergeCell ref="F12:F13"/>
    <mergeCell ref="F10:F11"/>
    <mergeCell ref="G10:G11"/>
    <mergeCell ref="H10:H11"/>
    <mergeCell ref="G12:G13"/>
    <mergeCell ref="H12:H13"/>
    <mergeCell ref="J12:K12"/>
    <mergeCell ref="J13:K13"/>
    <mergeCell ref="G14:G15"/>
    <mergeCell ref="H14:H15"/>
    <mergeCell ref="J14:K14"/>
    <mergeCell ref="J15:K15"/>
    <mergeCell ref="A12:A13"/>
    <mergeCell ref="C12:C13"/>
    <mergeCell ref="D12:D13"/>
    <mergeCell ref="A14:A15"/>
    <mergeCell ref="C14:C15"/>
    <mergeCell ref="D14:D15"/>
    <mergeCell ref="E14:E15"/>
    <mergeCell ref="F14:F15"/>
    <mergeCell ref="H16:H17"/>
    <mergeCell ref="J16:K16"/>
    <mergeCell ref="J17:K17"/>
    <mergeCell ref="A18:A19"/>
    <mergeCell ref="C18:C19"/>
    <mergeCell ref="D18:D19"/>
    <mergeCell ref="E18:E19"/>
    <mergeCell ref="F18:F19"/>
    <mergeCell ref="G18:G19"/>
    <mergeCell ref="H18:H19"/>
    <mergeCell ref="A16:A17"/>
    <mergeCell ref="C16:C17"/>
    <mergeCell ref="D16:D17"/>
    <mergeCell ref="E16:E17"/>
    <mergeCell ref="F16:F17"/>
    <mergeCell ref="G16:G17"/>
    <mergeCell ref="J18:K18"/>
    <mergeCell ref="J19:K19"/>
    <mergeCell ref="A20:A21"/>
    <mergeCell ref="B20:B21"/>
    <mergeCell ref="C20:C21"/>
    <mergeCell ref="D20:D21"/>
    <mergeCell ref="E20:E21"/>
    <mergeCell ref="F20:F21"/>
    <mergeCell ref="G20:G21"/>
    <mergeCell ref="H20:H21"/>
    <mergeCell ref="I20:K21"/>
    <mergeCell ref="L20:L21"/>
    <mergeCell ref="B28:C28"/>
    <mergeCell ref="L28:M28"/>
    <mergeCell ref="B29:C29"/>
    <mergeCell ref="G29:H29"/>
    <mergeCell ref="L29:M29"/>
  </mergeCells>
  <phoneticPr fontId="2" type="noConversion"/>
  <pageMargins left="0.7" right="0.7" top="0.75" bottom="0.75" header="0.3" footer="0.3"/>
  <pageSetup paperSize="9" scale="7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9"/>
  <sheetViews>
    <sheetView workbookViewId="0">
      <selection activeCell="B4" sqref="B4:H4"/>
    </sheetView>
  </sheetViews>
  <sheetFormatPr defaultRowHeight="13.5" x14ac:dyDescent="0.3"/>
  <cols>
    <col min="1" max="1" width="8.875" style="76" customWidth="1"/>
    <col min="2" max="8" width="14.875" style="76" customWidth="1"/>
    <col min="9" max="9" width="3.625" style="76" customWidth="1"/>
    <col min="10" max="10" width="9.625" style="76" customWidth="1"/>
    <col min="11" max="11" width="10.625" style="76" customWidth="1"/>
    <col min="12" max="13" width="14.875" style="76" customWidth="1"/>
    <col min="14" max="16384" width="9" style="76"/>
  </cols>
  <sheetData>
    <row r="1" spans="1:13" s="48" customFormat="1" ht="33.75" x14ac:dyDescent="0.3">
      <c r="A1" s="211" t="s">
        <v>247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3" s="48" customFormat="1" ht="6.75" customHeight="1" x14ac:dyDescent="0.3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s="52" customFormat="1" ht="24" customHeight="1" thickBot="1" x14ac:dyDescent="0.35">
      <c r="A3" s="50" t="s">
        <v>135</v>
      </c>
      <c r="B3" s="212" t="s">
        <v>173</v>
      </c>
      <c r="C3" s="212"/>
      <c r="D3" s="51"/>
      <c r="E3" s="51"/>
      <c r="F3" s="51"/>
      <c r="G3" s="51"/>
      <c r="H3" s="51"/>
      <c r="I3" s="51"/>
      <c r="J3" s="51"/>
      <c r="K3" s="51"/>
      <c r="M3" s="53" t="s">
        <v>136</v>
      </c>
    </row>
    <row r="4" spans="1:13" s="52" customFormat="1" ht="21" customHeight="1" x14ac:dyDescent="0.3">
      <c r="A4" s="213" t="s">
        <v>103</v>
      </c>
      <c r="B4" s="216" t="s">
        <v>104</v>
      </c>
      <c r="C4" s="217"/>
      <c r="D4" s="217"/>
      <c r="E4" s="217"/>
      <c r="F4" s="217"/>
      <c r="G4" s="217"/>
      <c r="H4" s="218"/>
      <c r="I4" s="219" t="s">
        <v>105</v>
      </c>
      <c r="J4" s="220"/>
      <c r="K4" s="220"/>
      <c r="L4" s="221"/>
      <c r="M4" s="222" t="s">
        <v>106</v>
      </c>
    </row>
    <row r="5" spans="1:13" s="52" customFormat="1" ht="21" customHeight="1" x14ac:dyDescent="0.3">
      <c r="A5" s="214"/>
      <c r="B5" s="225" t="s">
        <v>107</v>
      </c>
      <c r="C5" s="227" t="s">
        <v>108</v>
      </c>
      <c r="D5" s="228"/>
      <c r="E5" s="228"/>
      <c r="F5" s="228"/>
      <c r="G5" s="228"/>
      <c r="H5" s="229" t="s">
        <v>109</v>
      </c>
      <c r="I5" s="231" t="s">
        <v>110</v>
      </c>
      <c r="J5" s="228"/>
      <c r="K5" s="232"/>
      <c r="L5" s="236" t="s">
        <v>111</v>
      </c>
      <c r="M5" s="223"/>
    </row>
    <row r="6" spans="1:13" s="52" customFormat="1" ht="21" customHeight="1" x14ac:dyDescent="0.3">
      <c r="A6" s="215"/>
      <c r="B6" s="226"/>
      <c r="C6" s="54" t="s">
        <v>112</v>
      </c>
      <c r="D6" s="54" t="s">
        <v>113</v>
      </c>
      <c r="E6" s="54" t="s">
        <v>114</v>
      </c>
      <c r="F6" s="54" t="s">
        <v>115</v>
      </c>
      <c r="G6" s="55" t="s">
        <v>95</v>
      </c>
      <c r="H6" s="230"/>
      <c r="I6" s="233"/>
      <c r="J6" s="234"/>
      <c r="K6" s="235"/>
      <c r="L6" s="237"/>
      <c r="M6" s="224"/>
    </row>
    <row r="7" spans="1:13" s="52" customFormat="1" ht="33" customHeight="1" x14ac:dyDescent="0.3">
      <c r="A7" s="56" t="s">
        <v>116</v>
      </c>
      <c r="B7" s="77">
        <f>'검산서(상반기)'!B20</f>
        <v>311658</v>
      </c>
      <c r="C7" s="77">
        <f>'검산서(상반기)'!C20</f>
        <v>0</v>
      </c>
      <c r="D7" s="77">
        <f>'검산서(상반기)'!D20</f>
        <v>0</v>
      </c>
      <c r="E7" s="77">
        <f>'검산서(상반기)'!E20</f>
        <v>0</v>
      </c>
      <c r="F7" s="77">
        <f>'검산서(상반기)'!F20</f>
        <v>45</v>
      </c>
      <c r="G7" s="77">
        <f>'검산서(상반기)'!G20</f>
        <v>45</v>
      </c>
      <c r="H7" s="77">
        <f>'검산서(상반기)'!H20</f>
        <v>311703</v>
      </c>
      <c r="I7" s="244" t="s">
        <v>117</v>
      </c>
      <c r="J7" s="245"/>
      <c r="K7" s="246"/>
      <c r="L7" s="78">
        <f>'검산서(상반기)'!L20</f>
        <v>32110</v>
      </c>
      <c r="M7" s="79"/>
    </row>
    <row r="8" spans="1:13" s="64" customFormat="1" ht="24.75" customHeight="1" x14ac:dyDescent="0.3">
      <c r="A8" s="201" t="s">
        <v>129</v>
      </c>
      <c r="B8" s="208"/>
      <c r="C8" s="202">
        <f>SUMIFS(수입,코드,"IC1",회계월,"="&amp;LEFT(A8,LEN(A8)-1))</f>
        <v>0</v>
      </c>
      <c r="D8" s="202">
        <f>SUMIFS(수입,코드,"IC2",회계월,"="&amp;LEFT(A8,LEN(A8)-1))</f>
        <v>0</v>
      </c>
      <c r="E8" s="202">
        <f>SUMIFS(수입,관,"*헌금",회계월,"="&amp;LEFT(A8,LEN(A8)-1))</f>
        <v>0</v>
      </c>
      <c r="F8" s="202">
        <f>SUMIFS(수입,회계월,"="&amp;LEFT(A8,LEN(A8)-1),회계장부!H:H,"&lt;&gt;"&amp;"전년도이월금")-SUM(C8:E8)</f>
        <v>0</v>
      </c>
      <c r="G8" s="202">
        <f>SUM(C8:F9)</f>
        <v>0</v>
      </c>
      <c r="H8" s="199">
        <f>G8</f>
        <v>0</v>
      </c>
      <c r="I8" s="61" t="s">
        <v>118</v>
      </c>
      <c r="J8" s="185" t="s">
        <v>168</v>
      </c>
      <c r="K8" s="186"/>
      <c r="L8" s="62">
        <f t="shared" ref="L8:L15" si="0">SUMIFS(지출,관,J8,회계월,"&gt;6")</f>
        <v>0</v>
      </c>
      <c r="M8" s="63"/>
    </row>
    <row r="9" spans="1:13" s="64" customFormat="1" ht="24.75" customHeight="1" x14ac:dyDescent="0.3">
      <c r="A9" s="204"/>
      <c r="B9" s="209"/>
      <c r="C9" s="203"/>
      <c r="D9" s="203"/>
      <c r="E9" s="203"/>
      <c r="F9" s="203"/>
      <c r="G9" s="203"/>
      <c r="H9" s="200"/>
      <c r="I9" s="61" t="s">
        <v>78</v>
      </c>
      <c r="J9" s="185" t="s">
        <v>189</v>
      </c>
      <c r="K9" s="186"/>
      <c r="L9" s="62">
        <f t="shared" si="0"/>
        <v>0</v>
      </c>
      <c r="M9" s="65"/>
    </row>
    <row r="10" spans="1:13" s="64" customFormat="1" ht="24.75" customHeight="1" x14ac:dyDescent="0.3">
      <c r="A10" s="201" t="s">
        <v>130</v>
      </c>
      <c r="B10" s="209"/>
      <c r="C10" s="202">
        <f>SUMIFS(수입,코드,"IC1",회계월,"="&amp;LEFT(A10,LEN(A10)-1))</f>
        <v>0</v>
      </c>
      <c r="D10" s="202">
        <f>SUMIFS(수입,코드,"IC2",회계월,"="&amp;LEFT(A10,LEN(A10)-1))</f>
        <v>0</v>
      </c>
      <c r="E10" s="202">
        <f>SUMIFS(수입,관,"*헌금",회계월,"="&amp;LEFT(A10,LEN(A10)-1))</f>
        <v>0</v>
      </c>
      <c r="F10" s="202">
        <f>SUMIFS(수입,회계월,"="&amp;LEFT(A10,LEN(A10)-1),회계장부!H:H,"&lt;&gt;"&amp;"전년도이월금")-SUM(C10:E10)</f>
        <v>0</v>
      </c>
      <c r="G10" s="202">
        <f>SUM(C10:F11)</f>
        <v>0</v>
      </c>
      <c r="H10" s="199">
        <f>G10</f>
        <v>0</v>
      </c>
      <c r="I10" s="61" t="s">
        <v>80</v>
      </c>
      <c r="J10" s="185" t="s">
        <v>190</v>
      </c>
      <c r="K10" s="186"/>
      <c r="L10" s="62">
        <f t="shared" si="0"/>
        <v>0</v>
      </c>
      <c r="M10" s="65"/>
    </row>
    <row r="11" spans="1:13" s="64" customFormat="1" ht="24.75" customHeight="1" x14ac:dyDescent="0.3">
      <c r="A11" s="204"/>
      <c r="B11" s="209"/>
      <c r="C11" s="203"/>
      <c r="D11" s="203"/>
      <c r="E11" s="203"/>
      <c r="F11" s="203"/>
      <c r="G11" s="203"/>
      <c r="H11" s="200"/>
      <c r="I11" s="61" t="s">
        <v>81</v>
      </c>
      <c r="J11" s="185" t="s">
        <v>191</v>
      </c>
      <c r="K11" s="186"/>
      <c r="L11" s="62">
        <f t="shared" si="0"/>
        <v>0</v>
      </c>
      <c r="M11" s="65"/>
    </row>
    <row r="12" spans="1:13" s="64" customFormat="1" ht="24.75" customHeight="1" x14ac:dyDescent="0.3">
      <c r="A12" s="205" t="s">
        <v>131</v>
      </c>
      <c r="B12" s="209"/>
      <c r="C12" s="202">
        <f>SUMIFS(수입,코드,"IC1",회계월,"="&amp;LEFT(A12,LEN(A12)-1))</f>
        <v>0</v>
      </c>
      <c r="D12" s="202">
        <f>SUMIFS(수입,코드,"IC2",회계월,"="&amp;LEFT(A12,LEN(A12)-1))</f>
        <v>0</v>
      </c>
      <c r="E12" s="202">
        <f>SUMIFS(수입,관,"*헌금",회계월,"="&amp;LEFT(A12,LEN(A12)-1))</f>
        <v>0</v>
      </c>
      <c r="F12" s="202">
        <f>SUMIFS(수입,회계월,"="&amp;LEFT(A12,LEN(A12)-1),회계장부!H:H,"&lt;&gt;"&amp;"전년도이월금")-SUM(C12:E12)</f>
        <v>0</v>
      </c>
      <c r="G12" s="202">
        <f>SUM(C12:F13)</f>
        <v>0</v>
      </c>
      <c r="H12" s="199">
        <f>G12</f>
        <v>0</v>
      </c>
      <c r="I12" s="61" t="s">
        <v>83</v>
      </c>
      <c r="J12" s="185" t="s">
        <v>182</v>
      </c>
      <c r="K12" s="186"/>
      <c r="L12" s="62">
        <f t="shared" si="0"/>
        <v>0</v>
      </c>
      <c r="M12" s="65"/>
    </row>
    <row r="13" spans="1:13" s="64" customFormat="1" ht="24.75" customHeight="1" x14ac:dyDescent="0.3">
      <c r="A13" s="204"/>
      <c r="B13" s="209"/>
      <c r="C13" s="203"/>
      <c r="D13" s="203"/>
      <c r="E13" s="203"/>
      <c r="F13" s="203"/>
      <c r="G13" s="203"/>
      <c r="H13" s="200"/>
      <c r="I13" s="61" t="s">
        <v>84</v>
      </c>
      <c r="J13" s="185" t="s">
        <v>192</v>
      </c>
      <c r="K13" s="186"/>
      <c r="L13" s="62">
        <f t="shared" si="0"/>
        <v>0</v>
      </c>
      <c r="M13" s="65"/>
    </row>
    <row r="14" spans="1:13" s="64" customFormat="1" ht="24.75" customHeight="1" x14ac:dyDescent="0.3">
      <c r="A14" s="201" t="s">
        <v>132</v>
      </c>
      <c r="B14" s="209"/>
      <c r="C14" s="202">
        <f>SUMIFS(수입,코드,"IC1",회계월,"="&amp;LEFT(A14,LEN(A14)-1))</f>
        <v>0</v>
      </c>
      <c r="D14" s="202">
        <f>SUMIFS(수입,코드,"IC2",회계월,"="&amp;LEFT(A14,LEN(A14)-1))</f>
        <v>0</v>
      </c>
      <c r="E14" s="202">
        <f>SUMIFS(수입,관,"*헌금",회계월,"="&amp;LEFT(A14,LEN(A14)-1))</f>
        <v>0</v>
      </c>
      <c r="F14" s="202">
        <f>SUMIFS(수입,회계월,"="&amp;LEFT(A14,LEN(A14)-1),회계장부!H:H,"&lt;&gt;"&amp;"전년도이월금")-SUM(C14:E14)</f>
        <v>0</v>
      </c>
      <c r="G14" s="202">
        <f>SUM(C14:F15)</f>
        <v>0</v>
      </c>
      <c r="H14" s="199">
        <f>G14</f>
        <v>0</v>
      </c>
      <c r="I14" s="61" t="s">
        <v>86</v>
      </c>
      <c r="J14" s="185" t="s">
        <v>170</v>
      </c>
      <c r="K14" s="186"/>
      <c r="L14" s="62">
        <f t="shared" si="0"/>
        <v>0</v>
      </c>
      <c r="M14" s="65"/>
    </row>
    <row r="15" spans="1:13" s="64" customFormat="1" ht="24.75" customHeight="1" x14ac:dyDescent="0.3">
      <c r="A15" s="204"/>
      <c r="B15" s="209"/>
      <c r="C15" s="203"/>
      <c r="D15" s="203"/>
      <c r="E15" s="203"/>
      <c r="F15" s="203"/>
      <c r="G15" s="203"/>
      <c r="H15" s="200"/>
      <c r="I15" s="61" t="s">
        <v>87</v>
      </c>
      <c r="J15" s="185" t="s">
        <v>174</v>
      </c>
      <c r="K15" s="186"/>
      <c r="L15" s="62">
        <f t="shared" si="0"/>
        <v>0</v>
      </c>
      <c r="M15" s="65"/>
    </row>
    <row r="16" spans="1:13" s="64" customFormat="1" ht="24.75" customHeight="1" x14ac:dyDescent="0.3">
      <c r="A16" s="201" t="s">
        <v>133</v>
      </c>
      <c r="B16" s="209"/>
      <c r="C16" s="202">
        <f>SUMIFS(수입,코드,"IC1",회계월,"="&amp;LEFT(A16,LEN(A16)-1))</f>
        <v>0</v>
      </c>
      <c r="D16" s="202">
        <f>SUMIFS(수입,코드,"IC2",회계월,"="&amp;LEFT(A16,LEN(A16)-1))</f>
        <v>0</v>
      </c>
      <c r="E16" s="202">
        <f>SUMIFS(수입,관,"*헌금",회계월,"="&amp;LEFT(A16,LEN(A16)-1))</f>
        <v>0</v>
      </c>
      <c r="F16" s="202">
        <f>SUMIFS(수입,회계월,"="&amp;LEFT(A16,LEN(A16)-1),회계장부!H:H,"&lt;&gt;"&amp;"전년도이월금")-SUM(C16:E16)</f>
        <v>0</v>
      </c>
      <c r="G16" s="202">
        <f>SUM(C16:F17)</f>
        <v>0</v>
      </c>
      <c r="H16" s="199">
        <f>G16</f>
        <v>0</v>
      </c>
      <c r="I16" s="61" t="s">
        <v>89</v>
      </c>
      <c r="J16" s="185"/>
      <c r="K16" s="186"/>
      <c r="L16" s="62"/>
      <c r="M16" s="65"/>
    </row>
    <row r="17" spans="1:14" s="64" customFormat="1" ht="24.75" customHeight="1" x14ac:dyDescent="0.3">
      <c r="A17" s="204"/>
      <c r="B17" s="209"/>
      <c r="C17" s="203"/>
      <c r="D17" s="203"/>
      <c r="E17" s="203"/>
      <c r="F17" s="203"/>
      <c r="G17" s="203"/>
      <c r="H17" s="200"/>
      <c r="I17" s="61" t="s">
        <v>90</v>
      </c>
      <c r="J17" s="185"/>
      <c r="K17" s="186"/>
      <c r="L17" s="62"/>
      <c r="M17" s="65"/>
    </row>
    <row r="18" spans="1:14" s="64" customFormat="1" ht="24.75" customHeight="1" x14ac:dyDescent="0.3">
      <c r="A18" s="201" t="s">
        <v>134</v>
      </c>
      <c r="B18" s="209"/>
      <c r="C18" s="202">
        <f>SUMIFS(수입,코드,"IC1",회계월,"="&amp;LEFT(A18,LEN(A18)-1))</f>
        <v>0</v>
      </c>
      <c r="D18" s="202">
        <f>SUMIFS(수입,코드,"IC2",회계월,"="&amp;LEFT(A18,LEN(A18)-1))</f>
        <v>0</v>
      </c>
      <c r="E18" s="202">
        <f>SUMIFS(수입,관,"*헌금",회계월,"="&amp;LEFT(A18,LEN(A18)-1))</f>
        <v>0</v>
      </c>
      <c r="F18" s="202">
        <f>SUMIFS(수입,회계월,"="&amp;LEFT(A18,LEN(A18)-1),회계장부!H:H,"&lt;&gt;"&amp;"전년도이월금")-SUM(C18:E18)</f>
        <v>0</v>
      </c>
      <c r="G18" s="202">
        <f>SUM(C18:F19)</f>
        <v>0</v>
      </c>
      <c r="H18" s="199">
        <f>G18</f>
        <v>0</v>
      </c>
      <c r="I18" s="61" t="s">
        <v>92</v>
      </c>
      <c r="J18" s="185"/>
      <c r="K18" s="186"/>
      <c r="L18" s="62"/>
      <c r="M18" s="65"/>
    </row>
    <row r="19" spans="1:14" s="64" customFormat="1" ht="24.75" customHeight="1" thickBot="1" x14ac:dyDescent="0.35">
      <c r="A19" s="188"/>
      <c r="B19" s="210"/>
      <c r="C19" s="203"/>
      <c r="D19" s="203"/>
      <c r="E19" s="203"/>
      <c r="F19" s="203"/>
      <c r="G19" s="203"/>
      <c r="H19" s="200"/>
      <c r="I19" s="66" t="s">
        <v>93</v>
      </c>
      <c r="J19" s="185"/>
      <c r="K19" s="186"/>
      <c r="L19" s="62"/>
      <c r="M19" s="67"/>
    </row>
    <row r="20" spans="1:14" s="64" customFormat="1" ht="24.75" customHeight="1" thickBot="1" x14ac:dyDescent="0.35">
      <c r="A20" s="80" t="s">
        <v>119</v>
      </c>
      <c r="B20" s="81"/>
      <c r="C20" s="82">
        <f t="shared" ref="C20:H20" si="1">SUM(C8:C19)</f>
        <v>0</v>
      </c>
      <c r="D20" s="82">
        <f t="shared" si="1"/>
        <v>0</v>
      </c>
      <c r="E20" s="82">
        <f t="shared" si="1"/>
        <v>0</v>
      </c>
      <c r="F20" s="82">
        <f t="shared" si="1"/>
        <v>0</v>
      </c>
      <c r="G20" s="83">
        <f t="shared" si="1"/>
        <v>0</v>
      </c>
      <c r="H20" s="84">
        <f t="shared" si="1"/>
        <v>0</v>
      </c>
      <c r="I20" s="239" t="s">
        <v>120</v>
      </c>
      <c r="J20" s="240"/>
      <c r="K20" s="241"/>
      <c r="L20" s="83">
        <f>SUM(L8:L19)</f>
        <v>0</v>
      </c>
      <c r="M20" s="68" t="s">
        <v>121</v>
      </c>
    </row>
    <row r="21" spans="1:14" s="64" customFormat="1" ht="24.75" customHeight="1" thickBot="1" x14ac:dyDescent="0.35">
      <c r="A21" s="85" t="s">
        <v>122</v>
      </c>
      <c r="B21" s="86">
        <f>B7</f>
        <v>311658</v>
      </c>
      <c r="C21" s="86">
        <f t="shared" ref="C21:H21" si="2">C7+C20</f>
        <v>0</v>
      </c>
      <c r="D21" s="86">
        <f t="shared" si="2"/>
        <v>0</v>
      </c>
      <c r="E21" s="86">
        <f t="shared" si="2"/>
        <v>0</v>
      </c>
      <c r="F21" s="86">
        <f t="shared" si="2"/>
        <v>45</v>
      </c>
      <c r="G21" s="86">
        <f t="shared" si="2"/>
        <v>45</v>
      </c>
      <c r="H21" s="86">
        <f t="shared" si="2"/>
        <v>311703</v>
      </c>
      <c r="I21" s="242" t="s">
        <v>122</v>
      </c>
      <c r="J21" s="243"/>
      <c r="K21" s="197"/>
      <c r="L21" s="87">
        <f>L7+L20</f>
        <v>32110</v>
      </c>
      <c r="M21" s="88">
        <f>H21-L21</f>
        <v>279593</v>
      </c>
    </row>
    <row r="22" spans="1:14" s="64" customFormat="1" ht="6" customHeight="1" x14ac:dyDescent="0.3">
      <c r="M22" s="70"/>
    </row>
    <row r="23" spans="1:14" s="64" customFormat="1" ht="16.5" x14ac:dyDescent="0.3">
      <c r="A23" s="52" t="s">
        <v>123</v>
      </c>
      <c r="B23" s="52" t="s">
        <v>124</v>
      </c>
      <c r="D23" s="52"/>
      <c r="E23" s="52"/>
      <c r="F23" s="52"/>
      <c r="G23" s="52"/>
      <c r="M23" s="70"/>
    </row>
    <row r="24" spans="1:14" s="71" customFormat="1" ht="14.25" customHeight="1" x14ac:dyDescent="0.3"/>
    <row r="25" spans="1:14" s="71" customFormat="1" ht="17.25" x14ac:dyDescent="0.3">
      <c r="B25" s="72" t="s">
        <v>137</v>
      </c>
    </row>
    <row r="26" spans="1:14" s="71" customFormat="1" ht="17.25" x14ac:dyDescent="0.3">
      <c r="B26" s="72" t="s">
        <v>249</v>
      </c>
    </row>
    <row r="27" spans="1:14" s="52" customFormat="1" ht="16.5" customHeight="1" thickBot="1" x14ac:dyDescent="0.35"/>
    <row r="28" spans="1:14" s="52" customFormat="1" ht="41.25" customHeight="1" thickBot="1" x14ac:dyDescent="0.35">
      <c r="B28" s="179" t="s">
        <v>138</v>
      </c>
      <c r="C28" s="179"/>
      <c r="D28" s="89"/>
      <c r="E28" s="90"/>
      <c r="F28" s="72" t="s">
        <v>140</v>
      </c>
      <c r="G28" s="72"/>
      <c r="H28" s="72"/>
      <c r="I28" s="72"/>
      <c r="J28" s="72"/>
      <c r="K28" s="73" t="s">
        <v>141</v>
      </c>
      <c r="L28" s="180" t="s">
        <v>142</v>
      </c>
      <c r="M28" s="181"/>
      <c r="N28" s="72"/>
    </row>
    <row r="29" spans="1:14" s="52" customFormat="1" ht="41.25" customHeight="1" thickBot="1" x14ac:dyDescent="0.35">
      <c r="A29" s="72"/>
      <c r="B29" s="179" t="s">
        <v>143</v>
      </c>
      <c r="C29" s="179"/>
      <c r="D29" s="89"/>
      <c r="E29" s="90"/>
      <c r="F29" s="72" t="s">
        <v>145</v>
      </c>
      <c r="G29" s="182"/>
      <c r="H29" s="182"/>
      <c r="I29" s="72"/>
      <c r="J29" s="72"/>
      <c r="K29" s="74" t="s">
        <v>146</v>
      </c>
      <c r="L29" s="183" t="s">
        <v>142</v>
      </c>
      <c r="M29" s="184"/>
      <c r="N29" s="72"/>
    </row>
    <row r="30" spans="1:14" s="52" customFormat="1" ht="9" customHeight="1" x14ac:dyDescent="0.3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</row>
    <row r="31" spans="1:14" s="64" customFormat="1" ht="16.5" x14ac:dyDescent="0.3"/>
    <row r="32" spans="1:14" s="64" customFormat="1" ht="16.5" x14ac:dyDescent="0.3">
      <c r="A32" s="71" t="s">
        <v>125</v>
      </c>
      <c r="B32" s="75" t="s">
        <v>126</v>
      </c>
    </row>
    <row r="33" spans="1:2" s="64" customFormat="1" ht="16.5" x14ac:dyDescent="0.3">
      <c r="A33" s="71"/>
      <c r="B33" s="71" t="s">
        <v>127</v>
      </c>
    </row>
    <row r="34" spans="1:2" s="64" customFormat="1" ht="16.5" x14ac:dyDescent="0.3">
      <c r="A34" s="71"/>
      <c r="B34" s="71" t="s">
        <v>128</v>
      </c>
    </row>
    <row r="35" spans="1:2" s="64" customFormat="1" ht="16.5" x14ac:dyDescent="0.3"/>
    <row r="36" spans="1:2" s="64" customFormat="1" ht="16.5" x14ac:dyDescent="0.3">
      <c r="A36" s="71"/>
      <c r="B36" s="71"/>
    </row>
    <row r="37" spans="1:2" s="64" customFormat="1" ht="16.5" x14ac:dyDescent="0.3">
      <c r="A37" s="71"/>
    </row>
    <row r="38" spans="1:2" s="64" customFormat="1" ht="16.5" x14ac:dyDescent="0.3">
      <c r="A38" s="71"/>
    </row>
    <row r="39" spans="1:2" s="64" customFormat="1" ht="16.5" x14ac:dyDescent="0.3">
      <c r="A39" s="71"/>
    </row>
  </sheetData>
  <mergeCells count="74">
    <mergeCell ref="A1:M1"/>
    <mergeCell ref="B3:C3"/>
    <mergeCell ref="A4:A6"/>
    <mergeCell ref="B4:H4"/>
    <mergeCell ref="I4:L4"/>
    <mergeCell ref="M4:M6"/>
    <mergeCell ref="B5:B6"/>
    <mergeCell ref="C5:G5"/>
    <mergeCell ref="H5:H6"/>
    <mergeCell ref="I5:K6"/>
    <mergeCell ref="L5:L6"/>
    <mergeCell ref="I7:K7"/>
    <mergeCell ref="A8:A9"/>
    <mergeCell ref="B8:B19"/>
    <mergeCell ref="C8:C9"/>
    <mergeCell ref="D8:D9"/>
    <mergeCell ref="E8:E9"/>
    <mergeCell ref="F8:F9"/>
    <mergeCell ref="G8:G9"/>
    <mergeCell ref="H8:H9"/>
    <mergeCell ref="J8:K8"/>
    <mergeCell ref="J9:K9"/>
    <mergeCell ref="A10:A11"/>
    <mergeCell ref="C10:C11"/>
    <mergeCell ref="D10:D11"/>
    <mergeCell ref="E10:E11"/>
    <mergeCell ref="F10:F11"/>
    <mergeCell ref="G10:G11"/>
    <mergeCell ref="H10:H11"/>
    <mergeCell ref="J10:K10"/>
    <mergeCell ref="J11:K11"/>
    <mergeCell ref="A12:A13"/>
    <mergeCell ref="C12:C13"/>
    <mergeCell ref="D12:D13"/>
    <mergeCell ref="E12:E13"/>
    <mergeCell ref="F12:F13"/>
    <mergeCell ref="G12:G13"/>
    <mergeCell ref="H12:H13"/>
    <mergeCell ref="J12:K12"/>
    <mergeCell ref="J13:K13"/>
    <mergeCell ref="H14:H15"/>
    <mergeCell ref="J14:K14"/>
    <mergeCell ref="J15:K15"/>
    <mergeCell ref="A16:A17"/>
    <mergeCell ref="C16:C17"/>
    <mergeCell ref="D16:D17"/>
    <mergeCell ref="E16:E17"/>
    <mergeCell ref="F16:F17"/>
    <mergeCell ref="G16:G17"/>
    <mergeCell ref="H16:H17"/>
    <mergeCell ref="A14:A15"/>
    <mergeCell ref="C14:C15"/>
    <mergeCell ref="D14:D15"/>
    <mergeCell ref="E14:E15"/>
    <mergeCell ref="F14:F15"/>
    <mergeCell ref="G14:G15"/>
    <mergeCell ref="A18:A19"/>
    <mergeCell ref="C18:C19"/>
    <mergeCell ref="D18:D19"/>
    <mergeCell ref="E18:E19"/>
    <mergeCell ref="F18:F19"/>
    <mergeCell ref="B29:C29"/>
    <mergeCell ref="G29:H29"/>
    <mergeCell ref="L29:M29"/>
    <mergeCell ref="J16:K16"/>
    <mergeCell ref="J17:K17"/>
    <mergeCell ref="G18:G19"/>
    <mergeCell ref="H18:H19"/>
    <mergeCell ref="J18:K18"/>
    <mergeCell ref="J19:K19"/>
    <mergeCell ref="I20:K20"/>
    <mergeCell ref="I21:K21"/>
    <mergeCell ref="B28:C28"/>
    <mergeCell ref="L28:M28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K37"/>
  <sheetViews>
    <sheetView zoomScaleNormal="100" zoomScaleSheetLayoutView="100" workbookViewId="0">
      <selection activeCell="C8" sqref="C8"/>
    </sheetView>
  </sheetViews>
  <sheetFormatPr defaultRowHeight="16.5" x14ac:dyDescent="0.3"/>
  <cols>
    <col min="1" max="1" width="11.375" style="4" bestFit="1" customWidth="1"/>
    <col min="2" max="2" width="15.25" style="45" bestFit="1" customWidth="1"/>
    <col min="3" max="4" width="11.625" customWidth="1"/>
    <col min="5" max="5" width="13.625" customWidth="1"/>
    <col min="6" max="6" width="15.5" style="45" bestFit="1" customWidth="1"/>
    <col min="7" max="8" width="11.625" customWidth="1"/>
    <col min="11" max="11" width="11.125" style="105" bestFit="1" customWidth="1"/>
  </cols>
  <sheetData>
    <row r="1" spans="1:11" ht="29.25" customHeight="1" thickBot="1" x14ac:dyDescent="0.35">
      <c r="A1" s="264" t="s">
        <v>201</v>
      </c>
      <c r="B1" s="264"/>
      <c r="C1" s="264"/>
      <c r="D1" s="264"/>
      <c r="E1" s="264"/>
      <c r="F1" s="264"/>
      <c r="G1" s="264"/>
      <c r="H1" s="264"/>
    </row>
    <row r="2" spans="1:11" ht="16.5" customHeight="1" x14ac:dyDescent="0.3">
      <c r="A2" s="276" t="str">
        <f>"(대상기간 : " &amp; YEAR(K3) &amp; "년 " &amp; MONTH(K3) &amp; "월 " &amp; DAY(K3) &amp; "일" &amp; " - " &amp; YEAR(K4) &amp; "년 " &amp; MONTH(K4) &amp; "월 " &amp; DAY(K4) &amp; "일" &amp; ")"</f>
        <v>(대상기간 : 2020년 1월 1일 - 2020년 1월 31일)</v>
      </c>
      <c r="B2" s="276"/>
      <c r="C2" s="276"/>
      <c r="D2" s="276"/>
      <c r="E2" s="276"/>
      <c r="F2" s="276"/>
      <c r="G2" s="276"/>
      <c r="H2" s="276"/>
      <c r="J2" s="121" t="s">
        <v>200</v>
      </c>
      <c r="K2" s="122" t="s">
        <v>235</v>
      </c>
    </row>
    <row r="3" spans="1:11" ht="18" customHeight="1" thickBot="1" x14ac:dyDescent="0.35">
      <c r="A3" s="265" t="s">
        <v>197</v>
      </c>
      <c r="B3" s="265"/>
      <c r="C3" s="20"/>
      <c r="D3" s="20"/>
      <c r="E3" s="20"/>
      <c r="F3" s="46"/>
      <c r="G3" s="20"/>
      <c r="H3" s="21"/>
      <c r="J3" s="123" t="s">
        <v>198</v>
      </c>
      <c r="K3" s="124">
        <v>43831</v>
      </c>
    </row>
    <row r="4" spans="1:11" ht="21.95" customHeight="1" thickBot="1" x14ac:dyDescent="0.35">
      <c r="A4" s="270" t="s">
        <v>20</v>
      </c>
      <c r="B4" s="271"/>
      <c r="C4" s="271"/>
      <c r="D4" s="272"/>
      <c r="E4" s="275" t="s">
        <v>21</v>
      </c>
      <c r="F4" s="271"/>
      <c r="G4" s="271"/>
      <c r="H4" s="272"/>
      <c r="J4" s="125" t="s">
        <v>199</v>
      </c>
      <c r="K4" s="126">
        <v>43861</v>
      </c>
    </row>
    <row r="5" spans="1:11" ht="21.95" customHeight="1" thickBot="1" x14ac:dyDescent="0.35">
      <c r="A5" s="114" t="s">
        <v>10</v>
      </c>
      <c r="B5" s="115" t="s">
        <v>9</v>
      </c>
      <c r="C5" s="268" t="s">
        <v>23</v>
      </c>
      <c r="D5" s="269"/>
      <c r="E5" s="116" t="s">
        <v>10</v>
      </c>
      <c r="F5" s="115" t="s">
        <v>9</v>
      </c>
      <c r="G5" s="268" t="s">
        <v>22</v>
      </c>
      <c r="H5" s="269"/>
    </row>
    <row r="6" spans="1:11" ht="21.95" customHeight="1" thickTop="1" x14ac:dyDescent="0.3">
      <c r="A6" s="266" t="s">
        <v>8</v>
      </c>
      <c r="B6" s="111" t="s">
        <v>58</v>
      </c>
      <c r="C6" s="112">
        <f>SUMIFS(수입,회계장부!I:I,회계보고서!B6,회계장부!A:A,"&gt;="&amp;기준일자_시작일,회계장부!A:A,"&lt;="&amp;기준일자_종료일)</f>
        <v>0</v>
      </c>
      <c r="D6" s="273">
        <f>SUM(C6:C7)</f>
        <v>0</v>
      </c>
      <c r="E6" s="261" t="s">
        <v>168</v>
      </c>
      <c r="F6" s="113" t="s">
        <v>172</v>
      </c>
      <c r="G6" s="112">
        <f>SUMIFS(지출,회계장부!I:I,F6,회계장부!A:A,"&gt;="&amp;기준일자_시작일,회계장부!A:A,"&lt;="&amp;기준일자_종료일)</f>
        <v>0</v>
      </c>
      <c r="H6" s="262">
        <f>SUM(G6:G8)</f>
        <v>32110</v>
      </c>
    </row>
    <row r="7" spans="1:11" ht="21.95" customHeight="1" x14ac:dyDescent="0.3">
      <c r="A7" s="267"/>
      <c r="B7" s="41" t="s">
        <v>60</v>
      </c>
      <c r="C7" s="36">
        <f>SUMIFS(수입,회계장부!I:I,회계보고서!B7,회계장부!A:A,"&gt;="&amp;기준일자_시작일,회계장부!A:A,"&lt;="&amp;기준일자_종료일)</f>
        <v>0</v>
      </c>
      <c r="D7" s="274"/>
      <c r="E7" s="259"/>
      <c r="F7" s="42" t="s">
        <v>208</v>
      </c>
      <c r="G7" s="36">
        <f>SUMIFS(지출,회계장부!I:I,F7,회계장부!A:A,"&gt;="&amp;기준일자_시작일,회계장부!A:A,"&lt;="&amp;기준일자_종료일)</f>
        <v>32110</v>
      </c>
      <c r="H7" s="260"/>
    </row>
    <row r="8" spans="1:11" ht="21.95" customHeight="1" x14ac:dyDescent="0.3">
      <c r="A8" s="267" t="s">
        <v>17</v>
      </c>
      <c r="B8" s="41" t="s">
        <v>202</v>
      </c>
      <c r="C8" s="36">
        <f>SUMIFS(수입,회계장부!I:I,회계보고서!B8,회계장부!A:A,"&gt;="&amp;기준일자_시작일,회계장부!A:A,"&lt;="&amp;기준일자_종료일)</f>
        <v>0</v>
      </c>
      <c r="D8" s="274">
        <f>SUM(C8:C10)</f>
        <v>0</v>
      </c>
      <c r="E8" s="259"/>
      <c r="F8" s="42" t="s">
        <v>209</v>
      </c>
      <c r="G8" s="36">
        <f>SUMIFS(지출,회계장부!I:I,F8,회계장부!A:A,"&gt;="&amp;기준일자_시작일,회계장부!A:A,"&lt;="&amp;기준일자_종료일)</f>
        <v>0</v>
      </c>
      <c r="H8" s="260"/>
    </row>
    <row r="9" spans="1:11" ht="21.95" customHeight="1" x14ac:dyDescent="0.3">
      <c r="A9" s="267"/>
      <c r="B9" s="42" t="s">
        <v>148</v>
      </c>
      <c r="C9" s="36">
        <f>SUMIFS(수입,회계장부!I:I,회계보고서!B9,회계장부!A:A,"&gt;="&amp;기준일자_시작일,회계장부!A:A,"&lt;="&amp;기준일자_종료일)</f>
        <v>0</v>
      </c>
      <c r="D9" s="274"/>
      <c r="E9" s="259" t="s">
        <v>189</v>
      </c>
      <c r="F9" s="42" t="s">
        <v>238</v>
      </c>
      <c r="G9" s="36">
        <f>SUMIFS(지출,회계장부!I:I,F9,회계장부!A:A,"&gt;="&amp;기준일자_시작일,회계장부!A:A,"&lt;="&amp;기준일자_종료일)</f>
        <v>0</v>
      </c>
      <c r="H9" s="260">
        <f>SUM(G9:G13)</f>
        <v>0</v>
      </c>
    </row>
    <row r="10" spans="1:11" ht="21.95" customHeight="1" x14ac:dyDescent="0.3">
      <c r="A10" s="267"/>
      <c r="B10" s="42" t="s">
        <v>203</v>
      </c>
      <c r="C10" s="36">
        <f>SUMIFS(수입,회계장부!I:I,회계보고서!B10,회계장부!A:A,"&gt;="&amp;기준일자_시작일,회계장부!A:A,"&lt;="&amp;기준일자_종료일)</f>
        <v>0</v>
      </c>
      <c r="D10" s="274"/>
      <c r="E10" s="259"/>
      <c r="F10" s="42" t="s">
        <v>210</v>
      </c>
      <c r="G10" s="36">
        <f>SUMIFS(지출,회계장부!I:I,F10,회계장부!A:A,"&gt;="&amp;기준일자_시작일,회계장부!A:A,"&lt;="&amp;기준일자_종료일)</f>
        <v>0</v>
      </c>
      <c r="H10" s="260"/>
    </row>
    <row r="11" spans="1:11" ht="21.95" customHeight="1" x14ac:dyDescent="0.3">
      <c r="A11" s="247" t="s">
        <v>207</v>
      </c>
      <c r="B11" s="42" t="s">
        <v>204</v>
      </c>
      <c r="C11" s="36">
        <f>SUMIFS(수입,회계장부!I:I,회계보고서!B11,회계장부!A:A,"&gt;="&amp;기준일자_시작일,회계장부!A:A,"&lt;="&amp;기준일자_종료일)</f>
        <v>45</v>
      </c>
      <c r="D11" s="249">
        <f>SUM(C11:C14)</f>
        <v>45</v>
      </c>
      <c r="E11" s="259"/>
      <c r="F11" s="42" t="s">
        <v>243</v>
      </c>
      <c r="G11" s="36">
        <f>SUMIFS(지출,회계장부!I:I,F11,회계장부!A:A,"&gt;="&amp;기준일자_시작일,회계장부!A:A,"&lt;="&amp;기준일자_종료일)</f>
        <v>0</v>
      </c>
      <c r="H11" s="260"/>
    </row>
    <row r="12" spans="1:11" ht="21.95" customHeight="1" x14ac:dyDescent="0.3">
      <c r="A12" s="248"/>
      <c r="B12" s="41" t="s">
        <v>205</v>
      </c>
      <c r="C12" s="36">
        <f>SUMIFS(수입,회계장부!I:I,회계보고서!B12,회계장부!A:A,"&gt;="&amp;기준일자_시작일,회계장부!A:A,"&lt;="&amp;기준일자_종료일)</f>
        <v>0</v>
      </c>
      <c r="D12" s="250"/>
      <c r="E12" s="259"/>
      <c r="F12" s="42" t="s">
        <v>241</v>
      </c>
      <c r="G12" s="36">
        <f>SUMIFS(지출,회계장부!I:I,F12,회계장부!A:A,"&gt;="&amp;기준일자_시작일,회계장부!A:A,"&lt;="&amp;기준일자_종료일)</f>
        <v>0</v>
      </c>
      <c r="H12" s="260"/>
    </row>
    <row r="13" spans="1:11" ht="21.95" customHeight="1" x14ac:dyDescent="0.3">
      <c r="A13" s="248"/>
      <c r="B13" s="41" t="s">
        <v>206</v>
      </c>
      <c r="C13" s="36">
        <f>SUMIFS(수입,회계장부!I:I,회계보고서!B13,회계장부!A:A,"&gt;="&amp;기준일자_시작일,회계장부!A:A,"&lt;="&amp;기준일자_종료일)</f>
        <v>0</v>
      </c>
      <c r="D13" s="250"/>
      <c r="E13" s="259"/>
      <c r="F13" s="42" t="s">
        <v>242</v>
      </c>
      <c r="G13" s="36">
        <f>SUMIFS(지출,회계장부!I:I,F13,회계장부!A:A,"&gt;="&amp;기준일자_시작일,회계장부!A:A,"&lt;="&amp;기준일자_종료일)</f>
        <v>0</v>
      </c>
      <c r="H13" s="260"/>
    </row>
    <row r="14" spans="1:11" ht="21.95" customHeight="1" x14ac:dyDescent="0.3">
      <c r="A14" s="127"/>
      <c r="B14" s="41"/>
      <c r="C14" s="36"/>
      <c r="D14" s="128"/>
      <c r="E14" s="259" t="s">
        <v>190</v>
      </c>
      <c r="F14" s="42" t="s">
        <v>211</v>
      </c>
      <c r="G14" s="36">
        <f>SUMIFS(지출,회계장부!I:I,F14,회계장부!A:A,"&gt;="&amp;기준일자_시작일,회계장부!A:A,"&lt;="&amp;기준일자_종료일)</f>
        <v>0</v>
      </c>
      <c r="H14" s="260">
        <f>SUM(G14:G19)</f>
        <v>0</v>
      </c>
    </row>
    <row r="15" spans="1:11" ht="21.95" customHeight="1" x14ac:dyDescent="0.3">
      <c r="A15" s="103"/>
      <c r="B15" s="43"/>
      <c r="C15" s="37"/>
      <c r="D15" s="38"/>
      <c r="E15" s="259"/>
      <c r="F15" s="42" t="s">
        <v>212</v>
      </c>
      <c r="G15" s="36">
        <f>SUMIFS(지출,회계장부!I:I,F15,회계장부!A:A,"&gt;="&amp;기준일자_시작일,회계장부!A:A,"&lt;="&amp;기준일자_종료일)</f>
        <v>0</v>
      </c>
      <c r="H15" s="260"/>
    </row>
    <row r="16" spans="1:11" ht="21.95" customHeight="1" x14ac:dyDescent="0.3">
      <c r="A16" s="103"/>
      <c r="B16" s="43"/>
      <c r="C16" s="37"/>
      <c r="D16" s="38"/>
      <c r="E16" s="259"/>
      <c r="F16" s="42" t="s">
        <v>213</v>
      </c>
      <c r="G16" s="36">
        <f>SUMIFS(지출,회계장부!I:I,F16,회계장부!A:A,"&gt;="&amp;기준일자_시작일,회계장부!A:A,"&lt;="&amp;기준일자_종료일)</f>
        <v>0</v>
      </c>
      <c r="H16" s="260"/>
    </row>
    <row r="17" spans="1:8" ht="21.95" customHeight="1" x14ac:dyDescent="0.3">
      <c r="A17" s="103"/>
      <c r="B17" s="43"/>
      <c r="C17" s="37"/>
      <c r="D17" s="38"/>
      <c r="E17" s="259"/>
      <c r="F17" s="42" t="s">
        <v>214</v>
      </c>
      <c r="G17" s="36">
        <f>SUMIFS(지출,회계장부!I:I,F17,회계장부!A:A,"&gt;="&amp;기준일자_시작일,회계장부!A:A,"&lt;="&amp;기준일자_종료일)</f>
        <v>0</v>
      </c>
      <c r="H17" s="260"/>
    </row>
    <row r="18" spans="1:8" ht="21.95" customHeight="1" x14ac:dyDescent="0.3">
      <c r="A18" s="103"/>
      <c r="B18" s="43"/>
      <c r="C18" s="37"/>
      <c r="D18" s="38"/>
      <c r="E18" s="259"/>
      <c r="F18" s="42" t="s">
        <v>193</v>
      </c>
      <c r="G18" s="36">
        <f>SUMIFS(지출,회계장부!I:I,F18,회계장부!A:A,"&gt;="&amp;기준일자_시작일,회계장부!A:A,"&lt;="&amp;기준일자_종료일)</f>
        <v>0</v>
      </c>
      <c r="H18" s="260"/>
    </row>
    <row r="19" spans="1:8" ht="21.95" customHeight="1" x14ac:dyDescent="0.3">
      <c r="A19" s="103"/>
      <c r="B19" s="43"/>
      <c r="C19" s="37"/>
      <c r="D19" s="38"/>
      <c r="E19" s="259"/>
      <c r="F19" s="42" t="s">
        <v>215</v>
      </c>
      <c r="G19" s="36">
        <f>SUMIFS(지출,회계장부!I:I,F19,회계장부!A:A,"&gt;="&amp;기준일자_시작일,회계장부!A:A,"&lt;="&amp;기준일자_종료일)</f>
        <v>0</v>
      </c>
      <c r="H19" s="260"/>
    </row>
    <row r="20" spans="1:8" ht="21.95" customHeight="1" x14ac:dyDescent="0.3">
      <c r="A20" s="103"/>
      <c r="B20" s="43"/>
      <c r="C20" s="37"/>
      <c r="D20" s="38"/>
      <c r="E20" s="107" t="s">
        <v>191</v>
      </c>
      <c r="F20" s="42" t="s">
        <v>219</v>
      </c>
      <c r="G20" s="36">
        <f>SUMIFS(지출,회계장부!I:I,F20,회계장부!A:A,"&gt;="&amp;기준일자_시작일,회계장부!A:A,"&lt;="&amp;기준일자_종료일)</f>
        <v>0</v>
      </c>
      <c r="H20" s="117">
        <f>G20</f>
        <v>0</v>
      </c>
    </row>
    <row r="21" spans="1:8" ht="21.95" customHeight="1" x14ac:dyDescent="0.3">
      <c r="A21" s="103"/>
      <c r="B21" s="43"/>
      <c r="C21" s="37"/>
      <c r="D21" s="38"/>
      <c r="E21" s="259" t="s">
        <v>182</v>
      </c>
      <c r="F21" s="42" t="s">
        <v>216</v>
      </c>
      <c r="G21" s="36">
        <f>SUMIFS(지출,회계장부!I:I,F21,회계장부!A:A,"&gt;="&amp;기준일자_시작일,회계장부!A:A,"&lt;="&amp;기준일자_종료일)</f>
        <v>0</v>
      </c>
      <c r="H21" s="260">
        <f>SUM(G21:G23)</f>
        <v>0</v>
      </c>
    </row>
    <row r="22" spans="1:8" ht="21.95" customHeight="1" x14ac:dyDescent="0.3">
      <c r="A22" s="103"/>
      <c r="B22" s="43"/>
      <c r="C22" s="37"/>
      <c r="D22" s="38"/>
      <c r="E22" s="259"/>
      <c r="F22" s="42" t="s">
        <v>217</v>
      </c>
      <c r="G22" s="36">
        <f>SUMIFS(지출,회계장부!I:I,F22,회계장부!A:A,"&gt;="&amp;기준일자_시작일,회계장부!A:A,"&lt;="&amp;기준일자_종료일)</f>
        <v>0</v>
      </c>
      <c r="H22" s="263"/>
    </row>
    <row r="23" spans="1:8" ht="21.95" customHeight="1" x14ac:dyDescent="0.3">
      <c r="A23" s="103"/>
      <c r="B23" s="43"/>
      <c r="C23" s="37"/>
      <c r="D23" s="38"/>
      <c r="E23" s="259"/>
      <c r="F23" s="42" t="s">
        <v>218</v>
      </c>
      <c r="G23" s="36">
        <f>SUMIFS(지출,회계장부!I:I,F23,회계장부!A:A,"&gt;="&amp;기준일자_시작일,회계장부!A:A,"&lt;="&amp;기준일자_종료일)</f>
        <v>0</v>
      </c>
      <c r="H23" s="263"/>
    </row>
    <row r="24" spans="1:8" ht="21.95" customHeight="1" x14ac:dyDescent="0.3">
      <c r="A24" s="103"/>
      <c r="B24" s="43"/>
      <c r="C24" s="37"/>
      <c r="D24" s="38"/>
      <c r="E24" s="259" t="s">
        <v>192</v>
      </c>
      <c r="F24" s="42" t="s">
        <v>220</v>
      </c>
      <c r="G24" s="36">
        <f>SUMIFS(지출,회계장부!I:I,F24,회계장부!A:A,"&gt;="&amp;기준일자_시작일,회계장부!A:A,"&lt;="&amp;기준일자_종료일)</f>
        <v>0</v>
      </c>
      <c r="H24" s="260">
        <f>SUM(G24:G26)</f>
        <v>0</v>
      </c>
    </row>
    <row r="25" spans="1:8" ht="21.95" customHeight="1" x14ac:dyDescent="0.3">
      <c r="A25" s="103"/>
      <c r="B25" s="43"/>
      <c r="C25" s="37"/>
      <c r="D25" s="38"/>
      <c r="E25" s="259"/>
      <c r="F25" s="42" t="s">
        <v>221</v>
      </c>
      <c r="G25" s="36">
        <f>SUMIFS(지출,회계장부!I:I,F25,회계장부!A:A,"&gt;="&amp;기준일자_시작일,회계장부!A:A,"&lt;="&amp;기준일자_종료일)</f>
        <v>0</v>
      </c>
      <c r="H25" s="260"/>
    </row>
    <row r="26" spans="1:8" ht="21.95" customHeight="1" x14ac:dyDescent="0.3">
      <c r="A26" s="103"/>
      <c r="B26" s="43"/>
      <c r="C26" s="37"/>
      <c r="D26" s="38"/>
      <c r="E26" s="259"/>
      <c r="F26" s="42" t="s">
        <v>222</v>
      </c>
      <c r="G26" s="36">
        <f>SUMIFS(지출,회계장부!I:I,F26,회계장부!A:A,"&gt;="&amp;기준일자_시작일,회계장부!A:A,"&lt;="&amp;기준일자_종료일)</f>
        <v>0</v>
      </c>
      <c r="H26" s="260"/>
    </row>
    <row r="27" spans="1:8" ht="21.95" customHeight="1" x14ac:dyDescent="0.3">
      <c r="A27" s="103"/>
      <c r="B27" s="43"/>
      <c r="C27" s="37"/>
      <c r="D27" s="38"/>
      <c r="E27" s="259" t="s">
        <v>229</v>
      </c>
      <c r="F27" s="42" t="s">
        <v>223</v>
      </c>
      <c r="G27" s="36">
        <f>SUMIFS(지출,회계장부!I:I,F27,회계장부!A:A,"&gt;="&amp;기준일자_시작일,회계장부!A:A,"&lt;="&amp;기준일자_종료일)</f>
        <v>0</v>
      </c>
      <c r="H27" s="260">
        <f>SUM(G27:G30)</f>
        <v>0</v>
      </c>
    </row>
    <row r="28" spans="1:8" ht="21.95" customHeight="1" x14ac:dyDescent="0.3">
      <c r="A28" s="103"/>
      <c r="B28" s="43"/>
      <c r="C28" s="37"/>
      <c r="D28" s="38"/>
      <c r="E28" s="259"/>
      <c r="F28" s="42" t="s">
        <v>224</v>
      </c>
      <c r="G28" s="36">
        <f>SUMIFS(지출,회계장부!I:I,F28,회계장부!A:A,"&gt;="&amp;기준일자_시작일,회계장부!A:A,"&lt;="&amp;기준일자_종료일)</f>
        <v>0</v>
      </c>
      <c r="H28" s="260"/>
    </row>
    <row r="29" spans="1:8" ht="21.95" customHeight="1" x14ac:dyDescent="0.3">
      <c r="A29" s="103"/>
      <c r="B29" s="43"/>
      <c r="C29" s="37"/>
      <c r="D29" s="38"/>
      <c r="E29" s="259"/>
      <c r="F29" s="42" t="s">
        <v>225</v>
      </c>
      <c r="G29" s="36">
        <f>SUMIFS(지출,회계장부!I:I,F29,회계장부!A:A,"&gt;="&amp;기준일자_시작일,회계장부!A:A,"&lt;="&amp;기준일자_종료일)</f>
        <v>0</v>
      </c>
      <c r="H29" s="260"/>
    </row>
    <row r="30" spans="1:8" ht="21.95" customHeight="1" x14ac:dyDescent="0.3">
      <c r="A30" s="103"/>
      <c r="B30" s="43"/>
      <c r="C30" s="37"/>
      <c r="D30" s="38"/>
      <c r="E30" s="259"/>
      <c r="F30" s="42" t="s">
        <v>196</v>
      </c>
      <c r="G30" s="36">
        <f>SUMIFS(지출,회계장부!I:I,F30,회계장부!A:A,"&gt;="&amp;기준일자_시작일,회계장부!A:A,"&lt;="&amp;기준일자_종료일)</f>
        <v>0</v>
      </c>
      <c r="H30" s="260"/>
    </row>
    <row r="31" spans="1:8" ht="21.95" customHeight="1" x14ac:dyDescent="0.3">
      <c r="A31" s="103"/>
      <c r="B31" s="43"/>
      <c r="C31" s="37"/>
      <c r="D31" s="38"/>
      <c r="E31" s="259" t="s">
        <v>230</v>
      </c>
      <c r="F31" s="42" t="s">
        <v>226</v>
      </c>
      <c r="G31" s="36">
        <f>SUMIFS(지출,회계장부!I:I,F31,회계장부!A:A,"&gt;="&amp;기준일자_시작일,회계장부!A:A,"&lt;="&amp;기준일자_종료일)</f>
        <v>0</v>
      </c>
      <c r="H31" s="260">
        <f>SUM(G31:G33)</f>
        <v>0</v>
      </c>
    </row>
    <row r="32" spans="1:8" ht="21.95" customHeight="1" x14ac:dyDescent="0.3">
      <c r="A32" s="103"/>
      <c r="B32" s="43"/>
      <c r="C32" s="37"/>
      <c r="D32" s="38"/>
      <c r="E32" s="259"/>
      <c r="F32" s="42" t="s">
        <v>227</v>
      </c>
      <c r="G32" s="36">
        <f>SUMIFS(지출,회계장부!I:I,F32,회계장부!A:A,"&gt;="&amp;기준일자_시작일,회계장부!A:A,"&lt;="&amp;기준일자_종료일)</f>
        <v>0</v>
      </c>
      <c r="H32" s="260"/>
    </row>
    <row r="33" spans="1:9" ht="21.95" customHeight="1" x14ac:dyDescent="0.3">
      <c r="A33" s="103"/>
      <c r="B33" s="43"/>
      <c r="C33" s="37"/>
      <c r="D33" s="38"/>
      <c r="E33" s="259"/>
      <c r="F33" s="42" t="s">
        <v>228</v>
      </c>
      <c r="G33" s="36">
        <f>SUMIFS(지출,회계장부!I:I,F33,회계장부!A:A,"&gt;="&amp;기준일자_시작일,회계장부!A:A,"&lt;="&amp;기준일자_종료일)</f>
        <v>0</v>
      </c>
      <c r="H33" s="260"/>
    </row>
    <row r="34" spans="1:9" ht="21.95" customHeight="1" thickBot="1" x14ac:dyDescent="0.35">
      <c r="A34" s="104"/>
      <c r="B34" s="44"/>
      <c r="C34" s="106"/>
      <c r="D34" s="39"/>
      <c r="E34" s="108"/>
      <c r="F34" s="47"/>
      <c r="G34" s="40">
        <f>SUMIFS(지출,회계장부!I:I,회계보고서!F34)</f>
        <v>0</v>
      </c>
      <c r="H34" s="118"/>
      <c r="I34" s="3"/>
    </row>
    <row r="35" spans="1:9" ht="21.95" customHeight="1" thickTop="1" thickBot="1" x14ac:dyDescent="0.35">
      <c r="A35" s="251" t="s">
        <v>231</v>
      </c>
      <c r="B35" s="252"/>
      <c r="C35" s="252"/>
      <c r="D35" s="109">
        <f>SUM(D6:D14)</f>
        <v>45</v>
      </c>
      <c r="E35" s="253" t="s">
        <v>232</v>
      </c>
      <c r="F35" s="254"/>
      <c r="G35" s="254"/>
      <c r="H35" s="110">
        <f>SUM(H6:H33)</f>
        <v>32110</v>
      </c>
    </row>
    <row r="36" spans="1:9" ht="21.95" customHeight="1" thickTop="1" thickBot="1" x14ac:dyDescent="0.35">
      <c r="A36" s="251" t="s">
        <v>234</v>
      </c>
      <c r="B36" s="252"/>
      <c r="C36" s="252"/>
      <c r="D36" s="109">
        <f>SUMIFS(수입,회계월,"&lt;"&amp;MONTH(기준일자_시작일))-SUMIFS(수입,회계월,"&lt;"&amp;MONTH(기준일자_시작일),회계장부!I:I,회계보고서!A37)</f>
        <v>0</v>
      </c>
      <c r="E36" s="253" t="s">
        <v>233</v>
      </c>
      <c r="F36" s="254"/>
      <c r="G36" s="254"/>
      <c r="H36" s="110">
        <f>SUMIFS(지출,회계월,"&lt;"&amp;MONTH(기준일자_시작일))</f>
        <v>0</v>
      </c>
    </row>
    <row r="37" spans="1:9" ht="21.95" customHeight="1" thickTop="1" thickBot="1" x14ac:dyDescent="0.35">
      <c r="A37" s="257" t="s">
        <v>53</v>
      </c>
      <c r="B37" s="258"/>
      <c r="C37" s="258"/>
      <c r="D37" s="119">
        <f>SUMIFS(수입,회계장부!I:I,회계보고서!A37)</f>
        <v>311658</v>
      </c>
      <c r="E37" s="255" t="s">
        <v>50</v>
      </c>
      <c r="F37" s="256"/>
      <c r="G37" s="256"/>
      <c r="H37" s="120">
        <f>SUM(D35:D37)-SUM(H35:H36)</f>
        <v>279593</v>
      </c>
    </row>
  </sheetData>
  <mergeCells count="33">
    <mergeCell ref="A1:H1"/>
    <mergeCell ref="E35:G35"/>
    <mergeCell ref="A3:B3"/>
    <mergeCell ref="A6:A7"/>
    <mergeCell ref="C5:D5"/>
    <mergeCell ref="A4:D4"/>
    <mergeCell ref="G5:H5"/>
    <mergeCell ref="A35:C35"/>
    <mergeCell ref="D6:D7"/>
    <mergeCell ref="E4:H4"/>
    <mergeCell ref="E9:E13"/>
    <mergeCell ref="A2:H2"/>
    <mergeCell ref="A8:A10"/>
    <mergeCell ref="D8:D10"/>
    <mergeCell ref="H27:H30"/>
    <mergeCell ref="H31:H33"/>
    <mergeCell ref="E6:E8"/>
    <mergeCell ref="E14:E19"/>
    <mergeCell ref="E21:E23"/>
    <mergeCell ref="E24:E26"/>
    <mergeCell ref="E27:E30"/>
    <mergeCell ref="H6:H8"/>
    <mergeCell ref="H9:H13"/>
    <mergeCell ref="H14:H19"/>
    <mergeCell ref="H21:H23"/>
    <mergeCell ref="H24:H26"/>
    <mergeCell ref="A11:A13"/>
    <mergeCell ref="D11:D13"/>
    <mergeCell ref="A36:C36"/>
    <mergeCell ref="E36:G36"/>
    <mergeCell ref="E37:G37"/>
    <mergeCell ref="A37:C37"/>
    <mergeCell ref="E31:E33"/>
  </mergeCells>
  <phoneticPr fontId="2" type="noConversion"/>
  <pageMargins left="3.937007874015748E-2" right="3.937007874015748E-2" top="0.35433070866141736" bottom="0.35433070866141736" header="0" footer="0"/>
  <pageSetup paperSize="9" scale="9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H78"/>
  <sheetViews>
    <sheetView zoomScale="115" zoomScaleNormal="115" workbookViewId="0">
      <selection activeCell="I19" sqref="A18:I19"/>
    </sheetView>
  </sheetViews>
  <sheetFormatPr defaultRowHeight="20.100000000000001" customHeight="1" x14ac:dyDescent="0.3"/>
  <cols>
    <col min="1" max="1" width="14.625" style="26" customWidth="1"/>
    <col min="2" max="2" width="15.5" style="26" bestFit="1" customWidth="1"/>
    <col min="3" max="3" width="16.625" style="26" customWidth="1"/>
    <col min="4" max="4" width="18.5" style="26" customWidth="1"/>
    <col min="5" max="5" width="17.75" style="26" customWidth="1"/>
    <col min="6" max="6" width="13.375" style="26" customWidth="1"/>
    <col min="7" max="7" width="14.5" style="26" customWidth="1"/>
    <col min="8" max="8" width="12.5" style="26" customWidth="1"/>
    <col min="9" max="213" width="9" style="26"/>
    <col min="214" max="214" width="17" style="26" bestFit="1" customWidth="1"/>
    <col min="215" max="215" width="23.375" style="26" customWidth="1"/>
    <col min="216" max="216" width="14.25" style="26" customWidth="1"/>
    <col min="217" max="469" width="9" style="26"/>
    <col min="470" max="470" width="17" style="26" bestFit="1" customWidth="1"/>
    <col min="471" max="471" width="23.375" style="26" customWidth="1"/>
    <col min="472" max="472" width="14.25" style="26" customWidth="1"/>
    <col min="473" max="725" width="9" style="26"/>
    <col min="726" max="726" width="17" style="26" bestFit="1" customWidth="1"/>
    <col min="727" max="727" width="23.375" style="26" customWidth="1"/>
    <col min="728" max="728" width="14.25" style="26" customWidth="1"/>
    <col min="729" max="981" width="9" style="26"/>
    <col min="982" max="982" width="17" style="26" bestFit="1" customWidth="1"/>
    <col min="983" max="983" width="23.375" style="26" customWidth="1"/>
    <col min="984" max="984" width="14.25" style="26" customWidth="1"/>
    <col min="985" max="1237" width="9" style="26"/>
    <col min="1238" max="1238" width="17" style="26" bestFit="1" customWidth="1"/>
    <col min="1239" max="1239" width="23.375" style="26" customWidth="1"/>
    <col min="1240" max="1240" width="14.25" style="26" customWidth="1"/>
    <col min="1241" max="1493" width="9" style="26"/>
    <col min="1494" max="1494" width="17" style="26" bestFit="1" customWidth="1"/>
    <col min="1495" max="1495" width="23.375" style="26" customWidth="1"/>
    <col min="1496" max="1496" width="14.25" style="26" customWidth="1"/>
    <col min="1497" max="1749" width="9" style="26"/>
    <col min="1750" max="1750" width="17" style="26" bestFit="1" customWidth="1"/>
    <col min="1751" max="1751" width="23.375" style="26" customWidth="1"/>
    <col min="1752" max="1752" width="14.25" style="26" customWidth="1"/>
    <col min="1753" max="2005" width="9" style="26"/>
    <col min="2006" max="2006" width="17" style="26" bestFit="1" customWidth="1"/>
    <col min="2007" max="2007" width="23.375" style="26" customWidth="1"/>
    <col min="2008" max="2008" width="14.25" style="26" customWidth="1"/>
    <col min="2009" max="2261" width="9" style="26"/>
    <col min="2262" max="2262" width="17" style="26" bestFit="1" customWidth="1"/>
    <col min="2263" max="2263" width="23.375" style="26" customWidth="1"/>
    <col min="2264" max="2264" width="14.25" style="26" customWidth="1"/>
    <col min="2265" max="2517" width="9" style="26"/>
    <col min="2518" max="2518" width="17" style="26" bestFit="1" customWidth="1"/>
    <col min="2519" max="2519" width="23.375" style="26" customWidth="1"/>
    <col min="2520" max="2520" width="14.25" style="26" customWidth="1"/>
    <col min="2521" max="2773" width="9" style="26"/>
    <col min="2774" max="2774" width="17" style="26" bestFit="1" customWidth="1"/>
    <col min="2775" max="2775" width="23.375" style="26" customWidth="1"/>
    <col min="2776" max="2776" width="14.25" style="26" customWidth="1"/>
    <col min="2777" max="3029" width="9" style="26"/>
    <col min="3030" max="3030" width="17" style="26" bestFit="1" customWidth="1"/>
    <col min="3031" max="3031" width="23.375" style="26" customWidth="1"/>
    <col min="3032" max="3032" width="14.25" style="26" customWidth="1"/>
    <col min="3033" max="3285" width="9" style="26"/>
    <col min="3286" max="3286" width="17" style="26" bestFit="1" customWidth="1"/>
    <col min="3287" max="3287" width="23.375" style="26" customWidth="1"/>
    <col min="3288" max="3288" width="14.25" style="26" customWidth="1"/>
    <col min="3289" max="3541" width="9" style="26"/>
    <col min="3542" max="3542" width="17" style="26" bestFit="1" customWidth="1"/>
    <col min="3543" max="3543" width="23.375" style="26" customWidth="1"/>
    <col min="3544" max="3544" width="14.25" style="26" customWidth="1"/>
    <col min="3545" max="3797" width="9" style="26"/>
    <col min="3798" max="3798" width="17" style="26" bestFit="1" customWidth="1"/>
    <col min="3799" max="3799" width="23.375" style="26" customWidth="1"/>
    <col min="3800" max="3800" width="14.25" style="26" customWidth="1"/>
    <col min="3801" max="4053" width="9" style="26"/>
    <col min="4054" max="4054" width="17" style="26" bestFit="1" customWidth="1"/>
    <col min="4055" max="4055" width="23.375" style="26" customWidth="1"/>
    <col min="4056" max="4056" width="14.25" style="26" customWidth="1"/>
    <col min="4057" max="4309" width="9" style="26"/>
    <col min="4310" max="4310" width="17" style="26" bestFit="1" customWidth="1"/>
    <col min="4311" max="4311" width="23.375" style="26" customWidth="1"/>
    <col min="4312" max="4312" width="14.25" style="26" customWidth="1"/>
    <col min="4313" max="4565" width="9" style="26"/>
    <col min="4566" max="4566" width="17" style="26" bestFit="1" customWidth="1"/>
    <col min="4567" max="4567" width="23.375" style="26" customWidth="1"/>
    <col min="4568" max="4568" width="14.25" style="26" customWidth="1"/>
    <col min="4569" max="4821" width="9" style="26"/>
    <col min="4822" max="4822" width="17" style="26" bestFit="1" customWidth="1"/>
    <col min="4823" max="4823" width="23.375" style="26" customWidth="1"/>
    <col min="4824" max="4824" width="14.25" style="26" customWidth="1"/>
    <col min="4825" max="5077" width="9" style="26"/>
    <col min="5078" max="5078" width="17" style="26" bestFit="1" customWidth="1"/>
    <col min="5079" max="5079" width="23.375" style="26" customWidth="1"/>
    <col min="5080" max="5080" width="14.25" style="26" customWidth="1"/>
    <col min="5081" max="5333" width="9" style="26"/>
    <col min="5334" max="5334" width="17" style="26" bestFit="1" customWidth="1"/>
    <col min="5335" max="5335" width="23.375" style="26" customWidth="1"/>
    <col min="5336" max="5336" width="14.25" style="26" customWidth="1"/>
    <col min="5337" max="5589" width="9" style="26"/>
    <col min="5590" max="5590" width="17" style="26" bestFit="1" customWidth="1"/>
    <col min="5591" max="5591" width="23.375" style="26" customWidth="1"/>
    <col min="5592" max="5592" width="14.25" style="26" customWidth="1"/>
    <col min="5593" max="5845" width="9" style="26"/>
    <col min="5846" max="5846" width="17" style="26" bestFit="1" customWidth="1"/>
    <col min="5847" max="5847" width="23.375" style="26" customWidth="1"/>
    <col min="5848" max="5848" width="14.25" style="26" customWidth="1"/>
    <col min="5849" max="6101" width="9" style="26"/>
    <col min="6102" max="6102" width="17" style="26" bestFit="1" customWidth="1"/>
    <col min="6103" max="6103" width="23.375" style="26" customWidth="1"/>
    <col min="6104" max="6104" width="14.25" style="26" customWidth="1"/>
    <col min="6105" max="6357" width="9" style="26"/>
    <col min="6358" max="6358" width="17" style="26" bestFit="1" customWidth="1"/>
    <col min="6359" max="6359" width="23.375" style="26" customWidth="1"/>
    <col min="6360" max="6360" width="14.25" style="26" customWidth="1"/>
    <col min="6361" max="6613" width="9" style="26"/>
    <col min="6614" max="6614" width="17" style="26" bestFit="1" customWidth="1"/>
    <col min="6615" max="6615" width="23.375" style="26" customWidth="1"/>
    <col min="6616" max="6616" width="14.25" style="26" customWidth="1"/>
    <col min="6617" max="6869" width="9" style="26"/>
    <col min="6870" max="6870" width="17" style="26" bestFit="1" customWidth="1"/>
    <col min="6871" max="6871" width="23.375" style="26" customWidth="1"/>
    <col min="6872" max="6872" width="14.25" style="26" customWidth="1"/>
    <col min="6873" max="7125" width="9" style="26"/>
    <col min="7126" max="7126" width="17" style="26" bestFit="1" customWidth="1"/>
    <col min="7127" max="7127" width="23.375" style="26" customWidth="1"/>
    <col min="7128" max="7128" width="14.25" style="26" customWidth="1"/>
    <col min="7129" max="7381" width="9" style="26"/>
    <col min="7382" max="7382" width="17" style="26" bestFit="1" customWidth="1"/>
    <col min="7383" max="7383" width="23.375" style="26" customWidth="1"/>
    <col min="7384" max="7384" width="14.25" style="26" customWidth="1"/>
    <col min="7385" max="7637" width="9" style="26"/>
    <col min="7638" max="7638" width="17" style="26" bestFit="1" customWidth="1"/>
    <col min="7639" max="7639" width="23.375" style="26" customWidth="1"/>
    <col min="7640" max="7640" width="14.25" style="26" customWidth="1"/>
    <col min="7641" max="7893" width="9" style="26"/>
    <col min="7894" max="7894" width="17" style="26" bestFit="1" customWidth="1"/>
    <col min="7895" max="7895" width="23.375" style="26" customWidth="1"/>
    <col min="7896" max="7896" width="14.25" style="26" customWidth="1"/>
    <col min="7897" max="8149" width="9" style="26"/>
    <col min="8150" max="8150" width="17" style="26" bestFit="1" customWidth="1"/>
    <col min="8151" max="8151" width="23.375" style="26" customWidth="1"/>
    <col min="8152" max="8152" width="14.25" style="26" customWidth="1"/>
    <col min="8153" max="8405" width="9" style="26"/>
    <col min="8406" max="8406" width="17" style="26" bestFit="1" customWidth="1"/>
    <col min="8407" max="8407" width="23.375" style="26" customWidth="1"/>
    <col min="8408" max="8408" width="14.25" style="26" customWidth="1"/>
    <col min="8409" max="8661" width="9" style="26"/>
    <col min="8662" max="8662" width="17" style="26" bestFit="1" customWidth="1"/>
    <col min="8663" max="8663" width="23.375" style="26" customWidth="1"/>
    <col min="8664" max="8664" width="14.25" style="26" customWidth="1"/>
    <col min="8665" max="8917" width="9" style="26"/>
    <col min="8918" max="8918" width="17" style="26" bestFit="1" customWidth="1"/>
    <col min="8919" max="8919" width="23.375" style="26" customWidth="1"/>
    <col min="8920" max="8920" width="14.25" style="26" customWidth="1"/>
    <col min="8921" max="9173" width="9" style="26"/>
    <col min="9174" max="9174" width="17" style="26" bestFit="1" customWidth="1"/>
    <col min="9175" max="9175" width="23.375" style="26" customWidth="1"/>
    <col min="9176" max="9176" width="14.25" style="26" customWidth="1"/>
    <col min="9177" max="9429" width="9" style="26"/>
    <col min="9430" max="9430" width="17" style="26" bestFit="1" customWidth="1"/>
    <col min="9431" max="9431" width="23.375" style="26" customWidth="1"/>
    <col min="9432" max="9432" width="14.25" style="26" customWidth="1"/>
    <col min="9433" max="9685" width="9" style="26"/>
    <col min="9686" max="9686" width="17" style="26" bestFit="1" customWidth="1"/>
    <col min="9687" max="9687" width="23.375" style="26" customWidth="1"/>
    <col min="9688" max="9688" width="14.25" style="26" customWidth="1"/>
    <col min="9689" max="9941" width="9" style="26"/>
    <col min="9942" max="9942" width="17" style="26" bestFit="1" customWidth="1"/>
    <col min="9943" max="9943" width="23.375" style="26" customWidth="1"/>
    <col min="9944" max="9944" width="14.25" style="26" customWidth="1"/>
    <col min="9945" max="10197" width="9" style="26"/>
    <col min="10198" max="10198" width="17" style="26" bestFit="1" customWidth="1"/>
    <col min="10199" max="10199" width="23.375" style="26" customWidth="1"/>
    <col min="10200" max="10200" width="14.25" style="26" customWidth="1"/>
    <col min="10201" max="10453" width="9" style="26"/>
    <col min="10454" max="10454" width="17" style="26" bestFit="1" customWidth="1"/>
    <col min="10455" max="10455" width="23.375" style="26" customWidth="1"/>
    <col min="10456" max="10456" width="14.25" style="26" customWidth="1"/>
    <col min="10457" max="10709" width="9" style="26"/>
    <col min="10710" max="10710" width="17" style="26" bestFit="1" customWidth="1"/>
    <col min="10711" max="10711" width="23.375" style="26" customWidth="1"/>
    <col min="10712" max="10712" width="14.25" style="26" customWidth="1"/>
    <col min="10713" max="10965" width="9" style="26"/>
    <col min="10966" max="10966" width="17" style="26" bestFit="1" customWidth="1"/>
    <col min="10967" max="10967" width="23.375" style="26" customWidth="1"/>
    <col min="10968" max="10968" width="14.25" style="26" customWidth="1"/>
    <col min="10969" max="11221" width="9" style="26"/>
    <col min="11222" max="11222" width="17" style="26" bestFit="1" customWidth="1"/>
    <col min="11223" max="11223" width="23.375" style="26" customWidth="1"/>
    <col min="11224" max="11224" width="14.25" style="26" customWidth="1"/>
    <col min="11225" max="11477" width="9" style="26"/>
    <col min="11478" max="11478" width="17" style="26" bestFit="1" customWidth="1"/>
    <col min="11479" max="11479" width="23.375" style="26" customWidth="1"/>
    <col min="11480" max="11480" width="14.25" style="26" customWidth="1"/>
    <col min="11481" max="11733" width="9" style="26"/>
    <col min="11734" max="11734" width="17" style="26" bestFit="1" customWidth="1"/>
    <col min="11735" max="11735" width="23.375" style="26" customWidth="1"/>
    <col min="11736" max="11736" width="14.25" style="26" customWidth="1"/>
    <col min="11737" max="11989" width="9" style="26"/>
    <col min="11990" max="11990" width="17" style="26" bestFit="1" customWidth="1"/>
    <col min="11991" max="11991" width="23.375" style="26" customWidth="1"/>
    <col min="11992" max="11992" width="14.25" style="26" customWidth="1"/>
    <col min="11993" max="12245" width="9" style="26"/>
    <col min="12246" max="12246" width="17" style="26" bestFit="1" customWidth="1"/>
    <col min="12247" max="12247" width="23.375" style="26" customWidth="1"/>
    <col min="12248" max="12248" width="14.25" style="26" customWidth="1"/>
    <col min="12249" max="12501" width="9" style="26"/>
    <col min="12502" max="12502" width="17" style="26" bestFit="1" customWidth="1"/>
    <col min="12503" max="12503" width="23.375" style="26" customWidth="1"/>
    <col min="12504" max="12504" width="14.25" style="26" customWidth="1"/>
    <col min="12505" max="12757" width="9" style="26"/>
    <col min="12758" max="12758" width="17" style="26" bestFit="1" customWidth="1"/>
    <col min="12759" max="12759" width="23.375" style="26" customWidth="1"/>
    <col min="12760" max="12760" width="14.25" style="26" customWidth="1"/>
    <col min="12761" max="13013" width="9" style="26"/>
    <col min="13014" max="13014" width="17" style="26" bestFit="1" customWidth="1"/>
    <col min="13015" max="13015" width="23.375" style="26" customWidth="1"/>
    <col min="13016" max="13016" width="14.25" style="26" customWidth="1"/>
    <col min="13017" max="13269" width="9" style="26"/>
    <col min="13270" max="13270" width="17" style="26" bestFit="1" customWidth="1"/>
    <col min="13271" max="13271" width="23.375" style="26" customWidth="1"/>
    <col min="13272" max="13272" width="14.25" style="26" customWidth="1"/>
    <col min="13273" max="13525" width="9" style="26"/>
    <col min="13526" max="13526" width="17" style="26" bestFit="1" customWidth="1"/>
    <col min="13527" max="13527" width="23.375" style="26" customWidth="1"/>
    <col min="13528" max="13528" width="14.25" style="26" customWidth="1"/>
    <col min="13529" max="13781" width="9" style="26"/>
    <col min="13782" max="13782" width="17" style="26" bestFit="1" customWidth="1"/>
    <col min="13783" max="13783" width="23.375" style="26" customWidth="1"/>
    <col min="13784" max="13784" width="14.25" style="26" customWidth="1"/>
    <col min="13785" max="14037" width="9" style="26"/>
    <col min="14038" max="14038" width="17" style="26" bestFit="1" customWidth="1"/>
    <col min="14039" max="14039" width="23.375" style="26" customWidth="1"/>
    <col min="14040" max="14040" width="14.25" style="26" customWidth="1"/>
    <col min="14041" max="14293" width="9" style="26"/>
    <col min="14294" max="14294" width="17" style="26" bestFit="1" customWidth="1"/>
    <col min="14295" max="14295" width="23.375" style="26" customWidth="1"/>
    <col min="14296" max="14296" width="14.25" style="26" customWidth="1"/>
    <col min="14297" max="14549" width="9" style="26"/>
    <col min="14550" max="14550" width="17" style="26" bestFit="1" customWidth="1"/>
    <col min="14551" max="14551" width="23.375" style="26" customWidth="1"/>
    <col min="14552" max="14552" width="14.25" style="26" customWidth="1"/>
    <col min="14553" max="14805" width="9" style="26"/>
    <col min="14806" max="14806" width="17" style="26" bestFit="1" customWidth="1"/>
    <col min="14807" max="14807" width="23.375" style="26" customWidth="1"/>
    <col min="14808" max="14808" width="14.25" style="26" customWidth="1"/>
    <col min="14809" max="15061" width="9" style="26"/>
    <col min="15062" max="15062" width="17" style="26" bestFit="1" customWidth="1"/>
    <col min="15063" max="15063" width="23.375" style="26" customWidth="1"/>
    <col min="15064" max="15064" width="14.25" style="26" customWidth="1"/>
    <col min="15065" max="15317" width="9" style="26"/>
    <col min="15318" max="15318" width="17" style="26" bestFit="1" customWidth="1"/>
    <col min="15319" max="15319" width="23.375" style="26" customWidth="1"/>
    <col min="15320" max="15320" width="14.25" style="26" customWidth="1"/>
    <col min="15321" max="15573" width="9" style="26"/>
    <col min="15574" max="15574" width="17" style="26" bestFit="1" customWidth="1"/>
    <col min="15575" max="15575" width="23.375" style="26" customWidth="1"/>
    <col min="15576" max="15576" width="14.25" style="26" customWidth="1"/>
    <col min="15577" max="15829" width="9" style="26"/>
    <col min="15830" max="15830" width="17" style="26" bestFit="1" customWidth="1"/>
    <col min="15831" max="15831" width="23.375" style="26" customWidth="1"/>
    <col min="15832" max="15832" width="14.25" style="26" customWidth="1"/>
    <col min="15833" max="16085" width="9" style="26"/>
    <col min="16086" max="16086" width="17" style="26" bestFit="1" customWidth="1"/>
    <col min="16087" max="16087" width="23.375" style="26" customWidth="1"/>
    <col min="16088" max="16088" width="14.25" style="26" customWidth="1"/>
    <col min="16089" max="16384" width="9" style="26"/>
  </cols>
  <sheetData>
    <row r="1" spans="1:8" ht="20.100000000000001" customHeight="1" thickBot="1" x14ac:dyDescent="0.35"/>
    <row r="2" spans="1:8" ht="20.100000000000001" customHeight="1" thickBot="1" x14ac:dyDescent="0.35">
      <c r="A2" s="35" t="s">
        <v>51</v>
      </c>
    </row>
    <row r="3" spans="1:8" s="30" customFormat="1" ht="20.100000000000001" customHeight="1" x14ac:dyDescent="0.3">
      <c r="A3" s="33" t="s">
        <v>12</v>
      </c>
      <c r="B3" s="29" t="s">
        <v>17</v>
      </c>
      <c r="C3" s="29" t="s">
        <v>8</v>
      </c>
      <c r="D3" s="29" t="s">
        <v>153</v>
      </c>
      <c r="E3" s="29"/>
    </row>
    <row r="4" spans="1:8" s="25" customFormat="1" ht="20.100000000000001" customHeight="1" x14ac:dyDescent="0.3">
      <c r="A4" s="23" t="s">
        <v>53</v>
      </c>
      <c r="B4" s="23" t="s">
        <v>147</v>
      </c>
      <c r="C4" s="23" t="s">
        <v>57</v>
      </c>
      <c r="D4" s="23" t="s">
        <v>61</v>
      </c>
      <c r="E4" s="24"/>
    </row>
    <row r="5" spans="1:8" s="25" customFormat="1" ht="20.100000000000001" customHeight="1" x14ac:dyDescent="0.3">
      <c r="A5" s="23"/>
      <c r="B5" s="24" t="s">
        <v>149</v>
      </c>
      <c r="C5" s="23" t="s">
        <v>59</v>
      </c>
      <c r="D5" s="23" t="s">
        <v>152</v>
      </c>
      <c r="E5" s="23"/>
    </row>
    <row r="6" spans="1:8" s="22" customFormat="1" ht="20.100000000000001" customHeight="1" x14ac:dyDescent="0.3">
      <c r="A6" s="24"/>
      <c r="B6" s="24" t="s">
        <v>150</v>
      </c>
      <c r="C6" s="24"/>
      <c r="D6" s="23" t="s">
        <v>151</v>
      </c>
      <c r="E6" s="24"/>
    </row>
    <row r="7" spans="1:8" ht="20.100000000000001" customHeight="1" x14ac:dyDescent="0.3">
      <c r="A7" s="24"/>
      <c r="B7" s="24"/>
      <c r="C7" s="24"/>
      <c r="D7" s="24"/>
      <c r="E7" s="24"/>
    </row>
    <row r="8" spans="1:8" ht="20.100000000000001" customHeight="1" thickBot="1" x14ac:dyDescent="0.35"/>
    <row r="9" spans="1:8" ht="20.100000000000001" customHeight="1" thickBot="1" x14ac:dyDescent="0.35">
      <c r="A9" s="34" t="s">
        <v>52</v>
      </c>
    </row>
    <row r="10" spans="1:8" s="30" customFormat="1" ht="20.100000000000001" customHeight="1" x14ac:dyDescent="0.3">
      <c r="A10" s="32" t="s">
        <v>169</v>
      </c>
      <c r="B10" s="31" t="s">
        <v>154</v>
      </c>
      <c r="C10" s="31" t="s">
        <v>158</v>
      </c>
      <c r="D10" s="31" t="s">
        <v>167</v>
      </c>
      <c r="E10" s="31" t="s">
        <v>183</v>
      </c>
      <c r="F10" s="31" t="s">
        <v>18</v>
      </c>
      <c r="G10" s="31" t="s">
        <v>171</v>
      </c>
      <c r="H10" s="31" t="s">
        <v>175</v>
      </c>
    </row>
    <row r="11" spans="1:8" ht="20.100000000000001" customHeight="1" x14ac:dyDescent="0.3">
      <c r="A11" s="24" t="s">
        <v>156</v>
      </c>
      <c r="B11" s="24" t="s">
        <v>239</v>
      </c>
      <c r="C11" s="24" t="s">
        <v>159</v>
      </c>
      <c r="D11" s="24" t="s">
        <v>178</v>
      </c>
      <c r="E11" s="24" t="s">
        <v>179</v>
      </c>
      <c r="F11" s="24" t="s">
        <v>164</v>
      </c>
      <c r="G11" s="24" t="s">
        <v>165</v>
      </c>
      <c r="H11" s="24" t="s">
        <v>184</v>
      </c>
    </row>
    <row r="12" spans="1:8" s="22" customFormat="1" ht="20.100000000000001" customHeight="1" x14ac:dyDescent="0.3">
      <c r="A12" s="24" t="s">
        <v>157</v>
      </c>
      <c r="B12" s="24" t="s">
        <v>155</v>
      </c>
      <c r="C12" s="24" t="s">
        <v>160</v>
      </c>
      <c r="D12" s="24"/>
      <c r="E12" s="24" t="s">
        <v>187</v>
      </c>
      <c r="F12" s="24" t="s">
        <v>180</v>
      </c>
      <c r="G12" s="24" t="s">
        <v>166</v>
      </c>
      <c r="H12" s="24" t="s">
        <v>185</v>
      </c>
    </row>
    <row r="13" spans="1:8" ht="20.100000000000001" customHeight="1" x14ac:dyDescent="0.3">
      <c r="A13" s="24" t="s">
        <v>176</v>
      </c>
      <c r="B13" s="24" t="s">
        <v>244</v>
      </c>
      <c r="C13" s="24" t="s">
        <v>161</v>
      </c>
      <c r="D13" s="24"/>
      <c r="E13" s="24" t="s">
        <v>188</v>
      </c>
      <c r="F13" s="24" t="s">
        <v>181</v>
      </c>
      <c r="G13" s="24" t="s">
        <v>194</v>
      </c>
      <c r="H13" s="24" t="s">
        <v>186</v>
      </c>
    </row>
    <row r="14" spans="1:8" ht="20.100000000000001" customHeight="1" x14ac:dyDescent="0.3">
      <c r="A14" s="24"/>
      <c r="B14" s="24" t="s">
        <v>245</v>
      </c>
      <c r="C14" s="24" t="s">
        <v>162</v>
      </c>
      <c r="D14" s="27"/>
      <c r="E14" s="24"/>
      <c r="F14" s="24"/>
      <c r="G14" s="24" t="s">
        <v>195</v>
      </c>
      <c r="H14" s="24"/>
    </row>
    <row r="15" spans="1:8" ht="20.100000000000001" customHeight="1" x14ac:dyDescent="0.3">
      <c r="A15" s="24"/>
      <c r="B15" s="24" t="s">
        <v>240</v>
      </c>
      <c r="C15" s="24" t="s">
        <v>163</v>
      </c>
      <c r="D15" s="24"/>
      <c r="E15" s="24"/>
      <c r="F15" s="24"/>
      <c r="G15" s="24"/>
      <c r="H15" s="24"/>
    </row>
    <row r="16" spans="1:8" s="22" customFormat="1" ht="20.100000000000001" customHeight="1" x14ac:dyDescent="0.3">
      <c r="A16" s="24"/>
      <c r="B16" s="24"/>
      <c r="C16" s="24" t="s">
        <v>177</v>
      </c>
      <c r="D16" s="24"/>
      <c r="E16" s="24"/>
      <c r="F16" s="24"/>
      <c r="G16" s="28"/>
      <c r="H16" s="28"/>
    </row>
    <row r="37" spans="1:5" s="22" customFormat="1" ht="20.100000000000001" customHeight="1" x14ac:dyDescent="0.3">
      <c r="A37" s="26"/>
      <c r="B37" s="26"/>
      <c r="C37" s="26"/>
      <c r="D37" s="26"/>
      <c r="E37" s="26"/>
    </row>
    <row r="41" spans="1:5" s="22" customFormat="1" ht="20.100000000000001" customHeight="1" x14ac:dyDescent="0.3">
      <c r="A41" s="26"/>
      <c r="B41" s="26"/>
      <c r="C41" s="26"/>
      <c r="D41" s="26"/>
      <c r="E41" s="26"/>
    </row>
    <row r="46" spans="1:5" s="22" customFormat="1" ht="20.100000000000001" customHeight="1" x14ac:dyDescent="0.3">
      <c r="A46" s="26"/>
      <c r="B46" s="26"/>
      <c r="C46" s="26"/>
      <c r="D46" s="26"/>
      <c r="E46" s="26"/>
    </row>
    <row r="47" spans="1:5" s="22" customFormat="1" ht="20.100000000000001" customHeight="1" x14ac:dyDescent="0.3">
      <c r="A47" s="26"/>
      <c r="B47" s="26"/>
      <c r="C47" s="26"/>
      <c r="D47" s="26"/>
      <c r="E47" s="26"/>
    </row>
    <row r="50" spans="1:5" s="22" customFormat="1" ht="20.100000000000001" customHeight="1" x14ac:dyDescent="0.3">
      <c r="A50" s="26"/>
      <c r="B50" s="26"/>
      <c r="C50" s="26"/>
      <c r="D50" s="26"/>
      <c r="E50" s="26"/>
    </row>
    <row r="51" spans="1:5" s="22" customFormat="1" ht="20.100000000000001" customHeight="1" x14ac:dyDescent="0.3">
      <c r="A51" s="26"/>
      <c r="B51" s="26"/>
      <c r="C51" s="26"/>
      <c r="D51" s="26"/>
      <c r="E51" s="26"/>
    </row>
    <row r="54" spans="1:5" s="22" customFormat="1" ht="20.100000000000001" customHeight="1" x14ac:dyDescent="0.3">
      <c r="A54" s="26"/>
      <c r="B54" s="26"/>
      <c r="C54" s="26"/>
      <c r="D54" s="26"/>
      <c r="E54" s="26"/>
    </row>
    <row r="59" spans="1:5" s="22" customFormat="1" ht="20.100000000000001" customHeight="1" x14ac:dyDescent="0.3">
      <c r="A59" s="26"/>
      <c r="B59" s="26"/>
      <c r="C59" s="26"/>
      <c r="D59" s="26"/>
      <c r="E59" s="26"/>
    </row>
    <row r="60" spans="1:5" s="22" customFormat="1" ht="20.100000000000001" customHeight="1" x14ac:dyDescent="0.3">
      <c r="A60" s="26"/>
      <c r="B60" s="26"/>
      <c r="C60" s="26"/>
      <c r="D60" s="26"/>
      <c r="E60" s="26"/>
    </row>
    <row r="61" spans="1:5" s="22" customFormat="1" ht="20.100000000000001" customHeight="1" x14ac:dyDescent="0.3">
      <c r="A61" s="26"/>
      <c r="B61" s="26"/>
      <c r="C61" s="26"/>
      <c r="D61" s="26"/>
      <c r="E61" s="26"/>
    </row>
    <row r="62" spans="1:5" s="22" customFormat="1" ht="20.100000000000001" customHeight="1" x14ac:dyDescent="0.3">
      <c r="A62" s="26"/>
      <c r="B62" s="26"/>
      <c r="C62" s="26"/>
      <c r="D62" s="26"/>
      <c r="E62" s="26"/>
    </row>
    <row r="63" spans="1:5" s="22" customFormat="1" ht="20.100000000000001" customHeight="1" x14ac:dyDescent="0.3">
      <c r="A63" s="26"/>
      <c r="B63" s="26"/>
      <c r="C63" s="26"/>
      <c r="D63" s="26"/>
      <c r="E63" s="26"/>
    </row>
    <row r="65" spans="1:5" s="22" customFormat="1" ht="20.100000000000001" customHeight="1" x14ac:dyDescent="0.3">
      <c r="A65" s="26"/>
      <c r="B65" s="26"/>
      <c r="C65" s="26"/>
      <c r="D65" s="26"/>
      <c r="E65" s="26"/>
    </row>
    <row r="69" spans="1:5" s="22" customFormat="1" ht="20.100000000000001" customHeight="1" x14ac:dyDescent="0.3">
      <c r="A69" s="26"/>
      <c r="B69" s="26"/>
      <c r="C69" s="26"/>
      <c r="D69" s="26"/>
      <c r="E69" s="26"/>
    </row>
    <row r="72" spans="1:5" s="22" customFormat="1" ht="20.100000000000001" customHeight="1" x14ac:dyDescent="0.3">
      <c r="A72" s="26"/>
      <c r="B72" s="26"/>
      <c r="C72" s="26"/>
      <c r="D72" s="26"/>
      <c r="E72" s="26"/>
    </row>
    <row r="73" spans="1:5" s="22" customFormat="1" ht="20.100000000000001" customHeight="1" x14ac:dyDescent="0.3">
      <c r="A73" s="26"/>
      <c r="B73" s="26"/>
      <c r="C73" s="26"/>
      <c r="D73" s="26"/>
      <c r="E73" s="26"/>
    </row>
    <row r="77" spans="1:5" s="22" customFormat="1" ht="20.100000000000001" customHeight="1" x14ac:dyDescent="0.3">
      <c r="A77" s="26"/>
      <c r="B77" s="26"/>
      <c r="C77" s="26"/>
      <c r="D77" s="26"/>
      <c r="E77" s="26"/>
    </row>
    <row r="78" spans="1:5" s="22" customFormat="1" ht="20.100000000000001" customHeight="1" x14ac:dyDescent="0.3">
      <c r="A78" s="26"/>
      <c r="B78" s="26"/>
      <c r="C78" s="26"/>
      <c r="D78" s="26"/>
      <c r="E78" s="26"/>
    </row>
  </sheetData>
  <phoneticPr fontId="2" type="noConversion"/>
  <pageMargins left="0.70866141732283472" right="0.70866141732283472" top="0.3937007874015748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23</vt:i4>
      </vt:variant>
    </vt:vector>
  </HeadingPairs>
  <TitlesOfParts>
    <vt:vector size="30" baseType="lpstr">
      <vt:lpstr>회계장부</vt:lpstr>
      <vt:lpstr>결의서</vt:lpstr>
      <vt:lpstr>월별누계</vt:lpstr>
      <vt:lpstr>검산서(상반기)</vt:lpstr>
      <vt:lpstr>검산서(하반기)</vt:lpstr>
      <vt:lpstr>회계보고서</vt:lpstr>
      <vt:lpstr>회계코드</vt:lpstr>
      <vt:lpstr>'검산서(상반기)'!Print_Area</vt:lpstr>
      <vt:lpstr>간식_다과비</vt:lpstr>
      <vt:lpstr>경조사비</vt:lpstr>
      <vt:lpstr>관</vt:lpstr>
      <vt:lpstr>교회보조금</vt:lpstr>
      <vt:lpstr>기준일자</vt:lpstr>
      <vt:lpstr>기준일자_시작일</vt:lpstr>
      <vt:lpstr>기준일자_종료일</vt:lpstr>
      <vt:lpstr>기타수입</vt:lpstr>
      <vt:lpstr>기타지출</vt:lpstr>
      <vt:lpstr>부서운영비</vt:lpstr>
      <vt:lpstr>수입</vt:lpstr>
      <vt:lpstr>수입항목</vt:lpstr>
      <vt:lpstr>시상_선물</vt:lpstr>
      <vt:lpstr>전년도이월금</vt:lpstr>
      <vt:lpstr>지출</vt:lpstr>
      <vt:lpstr>지출항목</vt:lpstr>
      <vt:lpstr>총회_월례회_친교</vt:lpstr>
      <vt:lpstr>코드</vt:lpstr>
      <vt:lpstr>특별예배</vt:lpstr>
      <vt:lpstr>행사비</vt:lpstr>
      <vt:lpstr>헌금</vt:lpstr>
      <vt:lpstr>회계월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남혜정</dc:creator>
  <cp:lastModifiedBy>성현생각</cp:lastModifiedBy>
  <cp:lastPrinted>2019-01-20T05:33:05Z</cp:lastPrinted>
  <dcterms:created xsi:type="dcterms:W3CDTF">2014-01-05T13:45:46Z</dcterms:created>
  <dcterms:modified xsi:type="dcterms:W3CDTF">2020-01-11T14:07:51Z</dcterms:modified>
</cp:coreProperties>
</file>